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71C84B0F-57D5-42F3-86CA-4474F766FF1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ONG" sheetId="1" r:id="rId1"/>
    <sheet name="COT" sheetId="2" r:id="rId2"/>
    <sheet name="DAM SAN TẦNG MÁI, THUONG " sheetId="3" r:id="rId3"/>
    <sheet name="MAI DON RAM DOC" sheetId="4" r:id="rId4"/>
  </sheets>
  <calcPr calcId="191029"/>
</workbook>
</file>

<file path=xl/calcChain.xml><?xml version="1.0" encoding="utf-8"?>
<calcChain xmlns="http://schemas.openxmlformats.org/spreadsheetml/2006/main">
  <c r="G138" i="4" l="1"/>
  <c r="M124" i="4"/>
  <c r="M123" i="4"/>
  <c r="N122" i="4"/>
  <c r="N121" i="4"/>
  <c r="O120" i="4"/>
  <c r="O125" i="4" s="1"/>
  <c r="L138" i="4" s="1"/>
  <c r="N119" i="4"/>
  <c r="N125" i="4" s="1"/>
  <c r="K138" i="4" s="1"/>
  <c r="M118" i="4"/>
  <c r="M117" i="4"/>
  <c r="P116" i="4"/>
  <c r="P115" i="4"/>
  <c r="P114" i="4"/>
  <c r="P113" i="4"/>
  <c r="P112" i="4"/>
  <c r="P111" i="4"/>
  <c r="P110" i="4"/>
  <c r="P109" i="4"/>
  <c r="P108" i="4"/>
  <c r="H119" i="4"/>
  <c r="G119" i="4"/>
  <c r="H108" i="4"/>
  <c r="H125" i="4" s="1"/>
  <c r="H138" i="4" s="1"/>
  <c r="G108" i="4"/>
  <c r="G125" i="4" s="1"/>
  <c r="M101" i="4"/>
  <c r="N100" i="4"/>
  <c r="M99" i="4"/>
  <c r="N98" i="4"/>
  <c r="H98" i="4"/>
  <c r="G98" i="4"/>
  <c r="P96" i="4"/>
  <c r="P95" i="4"/>
  <c r="P94" i="4"/>
  <c r="P93" i="4"/>
  <c r="P92" i="4"/>
  <c r="P88" i="4"/>
  <c r="H92" i="4"/>
  <c r="G92" i="4"/>
  <c r="Q89" i="4"/>
  <c r="Q87" i="4"/>
  <c r="Q86" i="4"/>
  <c r="Q85" i="4"/>
  <c r="M90" i="4"/>
  <c r="M91" i="4"/>
  <c r="M97" i="4" s="1"/>
  <c r="H85" i="4"/>
  <c r="H102" i="4" s="1"/>
  <c r="H137" i="4" s="1"/>
  <c r="G85" i="4"/>
  <c r="G102" i="4" s="1"/>
  <c r="G137" i="4" s="1"/>
  <c r="J57" i="4"/>
  <c r="J52" i="4"/>
  <c r="N78" i="4"/>
  <c r="O77" i="4"/>
  <c r="N76" i="4"/>
  <c r="O75" i="4"/>
  <c r="N74" i="4"/>
  <c r="O73" i="4"/>
  <c r="N72" i="4"/>
  <c r="O71" i="4"/>
  <c r="H71" i="4"/>
  <c r="G71" i="4"/>
  <c r="P69" i="4"/>
  <c r="P68" i="4"/>
  <c r="P67" i="4"/>
  <c r="J66" i="4"/>
  <c r="P66" i="4" s="1"/>
  <c r="J65" i="4"/>
  <c r="P65" i="4" s="1"/>
  <c r="J70" i="4"/>
  <c r="M70" i="4" s="1"/>
  <c r="H65" i="4"/>
  <c r="G65" i="4"/>
  <c r="J64" i="4"/>
  <c r="P62" i="4"/>
  <c r="P63" i="4"/>
  <c r="P61" i="4"/>
  <c r="P60" i="4"/>
  <c r="J59" i="4"/>
  <c r="J58" i="4"/>
  <c r="P58" i="4" s="1"/>
  <c r="P59" i="4"/>
  <c r="H58" i="4"/>
  <c r="G58" i="4"/>
  <c r="P56" i="4"/>
  <c r="P55" i="4"/>
  <c r="M57" i="4"/>
  <c r="J54" i="4"/>
  <c r="P54" i="4" s="1"/>
  <c r="J53" i="4"/>
  <c r="P53" i="4" s="1"/>
  <c r="H53" i="4"/>
  <c r="G53" i="4"/>
  <c r="J50" i="4"/>
  <c r="J49" i="4"/>
  <c r="P49" i="4" s="1"/>
  <c r="J48" i="4"/>
  <c r="P48" i="4" s="1"/>
  <c r="H48" i="4"/>
  <c r="G48" i="4"/>
  <c r="M52" i="4"/>
  <c r="M64" i="4" s="1"/>
  <c r="P51" i="4"/>
  <c r="P50" i="4"/>
  <c r="H32" i="4"/>
  <c r="G32" i="4"/>
  <c r="N40" i="4"/>
  <c r="N39" i="4"/>
  <c r="N38" i="4"/>
  <c r="N37" i="4"/>
  <c r="N36" i="4"/>
  <c r="N35" i="4"/>
  <c r="N34" i="4"/>
  <c r="N33" i="4"/>
  <c r="N32" i="4"/>
  <c r="L31" i="4"/>
  <c r="L41" i="4" s="1"/>
  <c r="I135" i="4" s="1"/>
  <c r="J29" i="4"/>
  <c r="O29" i="4" s="1"/>
  <c r="O30" i="4" s="1"/>
  <c r="H29" i="4"/>
  <c r="G29" i="4"/>
  <c r="J27" i="4"/>
  <c r="P26" i="4"/>
  <c r="P25" i="4"/>
  <c r="J24" i="4"/>
  <c r="P24" i="4" s="1"/>
  <c r="J23" i="4"/>
  <c r="P23" i="4" s="1"/>
  <c r="J28" i="4"/>
  <c r="M28" i="4" s="1"/>
  <c r="H23" i="4"/>
  <c r="G23" i="4"/>
  <c r="Q21" i="4"/>
  <c r="P20" i="4"/>
  <c r="J18" i="4"/>
  <c r="J19" i="4" s="1"/>
  <c r="P19" i="4" s="1"/>
  <c r="J17" i="4"/>
  <c r="Q17" i="4" s="1"/>
  <c r="J16" i="4"/>
  <c r="Q16" i="4" s="1"/>
  <c r="J22" i="4"/>
  <c r="M22" i="4" s="1"/>
  <c r="H16" i="4"/>
  <c r="G16" i="4"/>
  <c r="J14" i="4"/>
  <c r="P14" i="4" s="1"/>
  <c r="J13" i="4"/>
  <c r="P13" i="4" s="1"/>
  <c r="H11" i="4"/>
  <c r="H5" i="4"/>
  <c r="G5" i="4"/>
  <c r="G11" i="4"/>
  <c r="J15" i="4"/>
  <c r="M15" i="4" s="1"/>
  <c r="J12" i="4"/>
  <c r="P12" i="4" s="1"/>
  <c r="J11" i="4"/>
  <c r="P11" i="4" s="1"/>
  <c r="J10" i="4"/>
  <c r="M10" i="4" s="1"/>
  <c r="J7" i="4"/>
  <c r="P7" i="4" s="1"/>
  <c r="J8" i="4"/>
  <c r="P8" i="4" s="1"/>
  <c r="P27" i="4" s="1"/>
  <c r="J6" i="4"/>
  <c r="P6" i="4" s="1"/>
  <c r="J5" i="4"/>
  <c r="P5" i="4" s="1"/>
  <c r="P9" i="4"/>
  <c r="O79" i="4" l="1"/>
  <c r="L136" i="4" s="1"/>
  <c r="Q136" i="4" s="1"/>
  <c r="H79" i="4"/>
  <c r="H136" i="4" s="1"/>
  <c r="P102" i="4"/>
  <c r="N137" i="4" s="1"/>
  <c r="Q137" i="4" s="1"/>
  <c r="N102" i="4"/>
  <c r="K137" i="4" s="1"/>
  <c r="P125" i="4"/>
  <c r="N138" i="4" s="1"/>
  <c r="Q138" i="4" s="1"/>
  <c r="M125" i="4"/>
  <c r="J138" i="4" s="1"/>
  <c r="P138" i="4" s="1"/>
  <c r="Q102" i="4"/>
  <c r="O137" i="4" s="1"/>
  <c r="R137" i="4" s="1"/>
  <c r="M41" i="4"/>
  <c r="J135" i="4" s="1"/>
  <c r="P135" i="4" s="1"/>
  <c r="H41" i="4"/>
  <c r="H135" i="4" s="1"/>
  <c r="H139" i="4" s="1"/>
  <c r="M102" i="4"/>
  <c r="J137" i="4" s="1"/>
  <c r="P79" i="4"/>
  <c r="N136" i="4" s="1"/>
  <c r="G79" i="4"/>
  <c r="G136" i="4" s="1"/>
  <c r="Q41" i="4"/>
  <c r="O135" i="4" s="1"/>
  <c r="R135" i="4" s="1"/>
  <c r="R139" i="4" s="1"/>
  <c r="M79" i="4"/>
  <c r="J136" i="4" s="1"/>
  <c r="P136" i="4" s="1"/>
  <c r="N79" i="4"/>
  <c r="K136" i="4" s="1"/>
  <c r="G41" i="4"/>
  <c r="G135" i="4" s="1"/>
  <c r="P18" i="4"/>
  <c r="P41" i="4" s="1"/>
  <c r="N135" i="4" s="1"/>
  <c r="N41" i="4"/>
  <c r="K135" i="4" s="1"/>
  <c r="O41" i="4"/>
  <c r="M135" i="4" s="1"/>
  <c r="J30" i="4"/>
  <c r="D19" i="1"/>
  <c r="D17" i="1"/>
  <c r="D15" i="1"/>
  <c r="D10" i="1"/>
  <c r="D11" i="1"/>
  <c r="D12" i="1"/>
  <c r="D13" i="1"/>
  <c r="D14" i="1"/>
  <c r="D16" i="1"/>
  <c r="D18" i="1"/>
  <c r="D20" i="1"/>
  <c r="D23" i="1"/>
  <c r="D26" i="1"/>
  <c r="L17" i="2"/>
  <c r="N10" i="2"/>
  <c r="L83" i="3"/>
  <c r="L87" i="3" s="1"/>
  <c r="I412" i="3" s="1"/>
  <c r="J67" i="2"/>
  <c r="M7" i="2"/>
  <c r="M8" i="2"/>
  <c r="L406" i="3"/>
  <c r="I415" i="3" s="1"/>
  <c r="N404" i="3"/>
  <c r="N403" i="3"/>
  <c r="N402" i="3"/>
  <c r="N401" i="3"/>
  <c r="N400" i="3"/>
  <c r="N399" i="3"/>
  <c r="N398" i="3"/>
  <c r="N397" i="3"/>
  <c r="N396" i="3"/>
  <c r="N395" i="3"/>
  <c r="N394" i="3"/>
  <c r="N393" i="3"/>
  <c r="N392" i="3"/>
  <c r="N391" i="3"/>
  <c r="N390" i="3"/>
  <c r="N389" i="3"/>
  <c r="N388" i="3"/>
  <c r="N387" i="3"/>
  <c r="M386" i="3"/>
  <c r="N385" i="3"/>
  <c r="N384" i="3"/>
  <c r="N383" i="3"/>
  <c r="M382" i="3"/>
  <c r="M381" i="3"/>
  <c r="M380" i="3"/>
  <c r="J379" i="3"/>
  <c r="M379" i="3" s="1"/>
  <c r="J378" i="3"/>
  <c r="M378" i="3" s="1"/>
  <c r="J377" i="3"/>
  <c r="N377" i="3" s="1"/>
  <c r="K376" i="3"/>
  <c r="J376" i="3"/>
  <c r="J375" i="3"/>
  <c r="M375" i="3" s="1"/>
  <c r="N374" i="3"/>
  <c r="J373" i="3"/>
  <c r="N373" i="3" s="1"/>
  <c r="J372" i="3"/>
  <c r="M372" i="3" s="1"/>
  <c r="M371" i="3"/>
  <c r="N370" i="3"/>
  <c r="M369" i="3"/>
  <c r="J368" i="3"/>
  <c r="M368" i="3" s="1"/>
  <c r="J367" i="3"/>
  <c r="N367" i="3" s="1"/>
  <c r="J366" i="3"/>
  <c r="M366" i="3" s="1"/>
  <c r="J365" i="3"/>
  <c r="M365" i="3" s="1"/>
  <c r="J364" i="3"/>
  <c r="M364" i="3" s="1"/>
  <c r="N361" i="3"/>
  <c r="J362" i="3"/>
  <c r="N362" i="3" s="1"/>
  <c r="J360" i="3"/>
  <c r="N360" i="3" s="1"/>
  <c r="J359" i="3"/>
  <c r="M359" i="3" s="1"/>
  <c r="J353" i="3"/>
  <c r="M353" i="3" s="1"/>
  <c r="J352" i="3"/>
  <c r="M352" i="3" s="1"/>
  <c r="M358" i="3"/>
  <c r="N357" i="3"/>
  <c r="J356" i="3"/>
  <c r="M356" i="3" s="1"/>
  <c r="J355" i="3"/>
  <c r="N355" i="3" s="1"/>
  <c r="J354" i="3"/>
  <c r="N354" i="3" s="1"/>
  <c r="Q135" i="4" l="1"/>
  <c r="Q139" i="4" s="1"/>
  <c r="P137" i="4"/>
  <c r="P139" i="4" s="1"/>
  <c r="G35" i="1"/>
  <c r="G36" i="1"/>
  <c r="G139" i="4"/>
  <c r="M376" i="3"/>
  <c r="M406" i="3" s="1"/>
  <c r="J415" i="3" s="1"/>
  <c r="O415" i="3" s="1"/>
  <c r="J363" i="3"/>
  <c r="N363" i="3" s="1"/>
  <c r="N406" i="3" s="1"/>
  <c r="K415" i="3" s="1"/>
  <c r="K417" i="3" s="1"/>
  <c r="D351" i="3"/>
  <c r="H351" i="3" s="1"/>
  <c r="H406" i="3" s="1"/>
  <c r="H415" i="3" s="1"/>
  <c r="J211" i="3"/>
  <c r="Q211" i="3" s="1"/>
  <c r="J151" i="3"/>
  <c r="G351" i="3" l="1"/>
  <c r="G406" i="3" s="1"/>
  <c r="G415" i="3" s="1"/>
  <c r="L260" i="3"/>
  <c r="J342" i="3"/>
  <c r="P342" i="3" s="1"/>
  <c r="J341" i="3"/>
  <c r="P341" i="3" s="1"/>
  <c r="J340" i="3"/>
  <c r="P340" i="3" s="1"/>
  <c r="J339" i="3"/>
  <c r="P339" i="3" s="1"/>
  <c r="H339" i="3"/>
  <c r="G339" i="3"/>
  <c r="J343" i="3"/>
  <c r="M343" i="3" s="1"/>
  <c r="H329" i="3"/>
  <c r="J338" i="3"/>
  <c r="M338" i="3" s="1"/>
  <c r="J337" i="3"/>
  <c r="P337" i="3" s="1"/>
  <c r="J336" i="3"/>
  <c r="P336" i="3" s="1"/>
  <c r="H336" i="3"/>
  <c r="G336" i="3"/>
  <c r="J334" i="3"/>
  <c r="M334" i="3" s="1"/>
  <c r="J332" i="3"/>
  <c r="O332" i="3" s="1"/>
  <c r="J333" i="3"/>
  <c r="P333" i="3" s="1"/>
  <c r="J331" i="3"/>
  <c r="P331" i="3" s="1"/>
  <c r="J330" i="3"/>
  <c r="P330" i="3" s="1"/>
  <c r="J329" i="3"/>
  <c r="P329" i="3" s="1"/>
  <c r="G329" i="3"/>
  <c r="J335" i="3"/>
  <c r="M335" i="3" s="1"/>
  <c r="J327" i="3"/>
  <c r="P327" i="3" s="1"/>
  <c r="J326" i="3"/>
  <c r="P326" i="3" s="1"/>
  <c r="J216" i="3"/>
  <c r="J328" i="3"/>
  <c r="M328" i="3" s="1"/>
  <c r="J325" i="3"/>
  <c r="P325" i="3" s="1"/>
  <c r="J324" i="3"/>
  <c r="P324" i="3" s="1"/>
  <c r="H324" i="3"/>
  <c r="G324" i="3"/>
  <c r="J322" i="3"/>
  <c r="P322" i="3" s="1"/>
  <c r="J307" i="3"/>
  <c r="J317" i="3"/>
  <c r="J312" i="3"/>
  <c r="P312" i="3" s="1"/>
  <c r="P317" i="3"/>
  <c r="J311" i="3"/>
  <c r="P311" i="3" s="1"/>
  <c r="J316" i="3"/>
  <c r="P316" i="3" s="1"/>
  <c r="J321" i="3"/>
  <c r="P321" i="3" s="1"/>
  <c r="J323" i="3"/>
  <c r="M323" i="3" s="1"/>
  <c r="J320" i="3"/>
  <c r="P320" i="3" s="1"/>
  <c r="J319" i="3"/>
  <c r="P319" i="3" s="1"/>
  <c r="H319" i="3"/>
  <c r="G319" i="3"/>
  <c r="J315" i="3"/>
  <c r="P315" i="3" s="1"/>
  <c r="J314" i="3"/>
  <c r="P314" i="3" s="1"/>
  <c r="J318" i="3"/>
  <c r="M318" i="3" s="1"/>
  <c r="H314" i="3"/>
  <c r="G314" i="3"/>
  <c r="J306" i="3"/>
  <c r="P306" i="3" s="1"/>
  <c r="J310" i="3"/>
  <c r="P310" i="3" s="1"/>
  <c r="J309" i="3"/>
  <c r="P309" i="3" s="1"/>
  <c r="J313" i="3"/>
  <c r="M313" i="3" s="1"/>
  <c r="H309" i="3"/>
  <c r="G309" i="3"/>
  <c r="J308" i="3"/>
  <c r="M308" i="3" s="1"/>
  <c r="P307" i="3"/>
  <c r="J305" i="3"/>
  <c r="P305" i="3" s="1"/>
  <c r="J304" i="3"/>
  <c r="P304" i="3" s="1"/>
  <c r="H304" i="3"/>
  <c r="G304" i="3"/>
  <c r="J303" i="3"/>
  <c r="M303" i="3" s="1"/>
  <c r="J302" i="3"/>
  <c r="M302" i="3" s="1"/>
  <c r="J301" i="3"/>
  <c r="O301" i="3" s="1"/>
  <c r="J300" i="3"/>
  <c r="P300" i="3" s="1"/>
  <c r="J299" i="3"/>
  <c r="P299" i="3" s="1"/>
  <c r="J298" i="3"/>
  <c r="P298" i="3" s="1"/>
  <c r="J297" i="3"/>
  <c r="P297" i="3" s="1"/>
  <c r="J296" i="3"/>
  <c r="P296" i="3" s="1"/>
  <c r="H200" i="3"/>
  <c r="H296" i="3"/>
  <c r="G296" i="3"/>
  <c r="J294" i="3"/>
  <c r="P294" i="3" s="1"/>
  <c r="J293" i="3"/>
  <c r="P293" i="3" s="1"/>
  <c r="J295" i="3"/>
  <c r="M295" i="3" s="1"/>
  <c r="J292" i="3"/>
  <c r="P292" i="3" s="1"/>
  <c r="J291" i="3"/>
  <c r="P291" i="3" s="1"/>
  <c r="H291" i="3"/>
  <c r="G291" i="3"/>
  <c r="J289" i="3"/>
  <c r="P289" i="3" s="1"/>
  <c r="J284" i="3"/>
  <c r="J288" i="3"/>
  <c r="P288" i="3" s="1"/>
  <c r="J287" i="3"/>
  <c r="P287" i="3" s="1"/>
  <c r="J286" i="3"/>
  <c r="P286" i="3" s="1"/>
  <c r="J290" i="3"/>
  <c r="M290" i="3" s="1"/>
  <c r="H286" i="3"/>
  <c r="G286" i="3"/>
  <c r="J285" i="3"/>
  <c r="M285" i="3" s="1"/>
  <c r="P284" i="3"/>
  <c r="J283" i="3"/>
  <c r="P283" i="3" s="1"/>
  <c r="J133" i="3"/>
  <c r="J140" i="3"/>
  <c r="J282" i="3"/>
  <c r="P282" i="3" s="1"/>
  <c r="J281" i="3"/>
  <c r="P281" i="3" s="1"/>
  <c r="H281" i="3"/>
  <c r="G281" i="3"/>
  <c r="J280" i="3"/>
  <c r="M280" i="3" s="1"/>
  <c r="P277" i="3"/>
  <c r="J279" i="3"/>
  <c r="P279" i="3" s="1"/>
  <c r="J278" i="3"/>
  <c r="P278" i="3" s="1"/>
  <c r="J276" i="3"/>
  <c r="Q276" i="3" s="1"/>
  <c r="J275" i="3"/>
  <c r="P275" i="3" s="1"/>
  <c r="J273" i="3"/>
  <c r="P273" i="3" s="1"/>
  <c r="J274" i="3"/>
  <c r="P274" i="3" s="1"/>
  <c r="H273" i="3"/>
  <c r="G273" i="3"/>
  <c r="P271" i="3"/>
  <c r="J272" i="3"/>
  <c r="M272" i="3" s="1"/>
  <c r="J270" i="3"/>
  <c r="P270" i="3" s="1"/>
  <c r="J269" i="3"/>
  <c r="P269" i="3" s="1"/>
  <c r="J268" i="3"/>
  <c r="P268" i="3" s="1"/>
  <c r="H268" i="3"/>
  <c r="G268" i="3"/>
  <c r="M267" i="3"/>
  <c r="M266" i="3"/>
  <c r="J264" i="3"/>
  <c r="P264" i="3" s="1"/>
  <c r="J235" i="3"/>
  <c r="P235" i="3" s="1"/>
  <c r="J263" i="3"/>
  <c r="P263" i="3" s="1"/>
  <c r="J262" i="3"/>
  <c r="P262" i="3" s="1"/>
  <c r="J261" i="3"/>
  <c r="P261" i="3" s="1"/>
  <c r="J265" i="3"/>
  <c r="P265" i="3" s="1"/>
  <c r="H261" i="3"/>
  <c r="G261" i="3"/>
  <c r="D258" i="3"/>
  <c r="J259" i="3" s="1"/>
  <c r="O259" i="3" s="1"/>
  <c r="L257" i="3"/>
  <c r="L344" i="3" s="1"/>
  <c r="D255" i="3"/>
  <c r="J255" i="3" s="1"/>
  <c r="O255" i="3" s="1"/>
  <c r="J194" i="3"/>
  <c r="J237" i="3"/>
  <c r="P237" i="3" s="1"/>
  <c r="M253" i="3"/>
  <c r="J251" i="3"/>
  <c r="P251" i="3" s="1"/>
  <c r="J250" i="3"/>
  <c r="P250" i="3" s="1"/>
  <c r="M254" i="3"/>
  <c r="J249" i="3"/>
  <c r="Q249" i="3" s="1"/>
  <c r="J248" i="3"/>
  <c r="P248" i="3" s="1"/>
  <c r="J247" i="3"/>
  <c r="P247" i="3" s="1"/>
  <c r="J246" i="3"/>
  <c r="P246" i="3" s="1"/>
  <c r="H246" i="3"/>
  <c r="G246" i="3"/>
  <c r="J252" i="3"/>
  <c r="P252" i="3" s="1"/>
  <c r="M245" i="3"/>
  <c r="J242" i="3"/>
  <c r="J243" i="3" s="1"/>
  <c r="J132" i="3"/>
  <c r="J139" i="3"/>
  <c r="J149" i="3"/>
  <c r="J159" i="3"/>
  <c r="J168" i="3"/>
  <c r="J177" i="3"/>
  <c r="J185" i="3"/>
  <c r="J193" i="3"/>
  <c r="J201" i="3"/>
  <c r="J208" i="3"/>
  <c r="P208" i="3" s="1"/>
  <c r="J217" i="3"/>
  <c r="P217" i="3" s="1"/>
  <c r="J234" i="3"/>
  <c r="P234" i="3" s="1"/>
  <c r="J244" i="3"/>
  <c r="P244" i="3" s="1"/>
  <c r="H242" i="3"/>
  <c r="G242" i="3"/>
  <c r="M241" i="3"/>
  <c r="M240" i="3"/>
  <c r="J239" i="3"/>
  <c r="P239" i="3" s="1"/>
  <c r="J238" i="3"/>
  <c r="P238" i="3" s="1"/>
  <c r="J236" i="3"/>
  <c r="Q236" i="3" s="1"/>
  <c r="J233" i="3"/>
  <c r="P233" i="3" s="1"/>
  <c r="H233" i="3"/>
  <c r="G233" i="3"/>
  <c r="M230" i="3"/>
  <c r="M232" i="3"/>
  <c r="M231" i="3"/>
  <c r="J229" i="3"/>
  <c r="P229" i="3" s="1"/>
  <c r="J228" i="3"/>
  <c r="P228" i="3" s="1"/>
  <c r="J227" i="3"/>
  <c r="P227" i="3" s="1"/>
  <c r="J226" i="3"/>
  <c r="P226" i="3" s="1"/>
  <c r="J225" i="3"/>
  <c r="P225" i="3" s="1"/>
  <c r="J224" i="3"/>
  <c r="P224" i="3" s="1"/>
  <c r="P216" i="3"/>
  <c r="J223" i="3"/>
  <c r="P223" i="3" s="1"/>
  <c r="Q221" i="3"/>
  <c r="P222" i="3"/>
  <c r="J220" i="3"/>
  <c r="Q220" i="3" s="1"/>
  <c r="J219" i="3"/>
  <c r="P219" i="3" s="1"/>
  <c r="J218" i="3"/>
  <c r="P218" i="3" s="1"/>
  <c r="H216" i="3"/>
  <c r="G216" i="3"/>
  <c r="M215" i="3"/>
  <c r="M214" i="3"/>
  <c r="J212" i="3"/>
  <c r="P212" i="3" s="1"/>
  <c r="J210" i="3"/>
  <c r="P210" i="3" s="1"/>
  <c r="J209" i="3"/>
  <c r="P209" i="3" s="1"/>
  <c r="J200" i="3"/>
  <c r="J207" i="3"/>
  <c r="P207" i="3" s="1"/>
  <c r="J213" i="3"/>
  <c r="P213" i="3" s="1"/>
  <c r="H207" i="3"/>
  <c r="G207" i="3"/>
  <c r="M206" i="3"/>
  <c r="M205" i="3"/>
  <c r="J203" i="3"/>
  <c r="P203" i="3" s="1"/>
  <c r="J195" i="3"/>
  <c r="J187" i="3"/>
  <c r="J179" i="3"/>
  <c r="J171" i="3"/>
  <c r="J161" i="3"/>
  <c r="J134" i="3"/>
  <c r="J141" i="3"/>
  <c r="J202" i="3"/>
  <c r="P202" i="3" s="1"/>
  <c r="P242" i="3" l="1"/>
  <c r="P243" i="3" s="1"/>
  <c r="I414" i="3"/>
  <c r="G258" i="3"/>
  <c r="J258" i="3"/>
  <c r="O258" i="3" s="1"/>
  <c r="H255" i="3"/>
  <c r="J256" i="3"/>
  <c r="O256" i="3" s="1"/>
  <c r="O344" i="3" s="1"/>
  <c r="G255" i="3"/>
  <c r="H258" i="3"/>
  <c r="J204" i="3"/>
  <c r="P204" i="3" s="1"/>
  <c r="P201" i="3"/>
  <c r="P200" i="3"/>
  <c r="G200" i="3"/>
  <c r="P195" i="3"/>
  <c r="P194" i="3"/>
  <c r="J186" i="3"/>
  <c r="P186" i="3" s="1"/>
  <c r="M199" i="3"/>
  <c r="M198" i="3"/>
  <c r="J184" i="3"/>
  <c r="P185" i="3"/>
  <c r="J192" i="3"/>
  <c r="P192" i="3" s="1"/>
  <c r="J197" i="3"/>
  <c r="P197" i="3" s="1"/>
  <c r="J196" i="3"/>
  <c r="P196" i="3" s="1"/>
  <c r="P193" i="3"/>
  <c r="H192" i="3"/>
  <c r="G192" i="3"/>
  <c r="M191" i="3"/>
  <c r="M190" i="3"/>
  <c r="P187" i="3"/>
  <c r="J169" i="3"/>
  <c r="P169" i="3" s="1"/>
  <c r="J178" i="3"/>
  <c r="P178" i="3" s="1"/>
  <c r="P184" i="3"/>
  <c r="J189" i="3"/>
  <c r="J188" i="3"/>
  <c r="H184" i="3"/>
  <c r="G184" i="3"/>
  <c r="M182" i="3"/>
  <c r="M183" i="3"/>
  <c r="J180" i="3"/>
  <c r="P180" i="3" s="1"/>
  <c r="J142" i="3"/>
  <c r="P142" i="3" s="1"/>
  <c r="P140" i="3"/>
  <c r="J160" i="3"/>
  <c r="P160" i="3" s="1"/>
  <c r="P170" i="3"/>
  <c r="P162" i="3"/>
  <c r="Q151" i="3"/>
  <c r="P179" i="3"/>
  <c r="J181" i="3"/>
  <c r="P181" i="3" s="1"/>
  <c r="P177" i="3"/>
  <c r="J176" i="3"/>
  <c r="P176" i="3" s="1"/>
  <c r="H176" i="3"/>
  <c r="G176" i="3"/>
  <c r="J165" i="3"/>
  <c r="M165" i="3" s="1"/>
  <c r="P141" i="3"/>
  <c r="J150" i="3"/>
  <c r="P150" i="3" s="1"/>
  <c r="P168" i="3"/>
  <c r="M175" i="3"/>
  <c r="M174" i="3"/>
  <c r="M173" i="3"/>
  <c r="P171" i="3"/>
  <c r="J172" i="3"/>
  <c r="P172" i="3" s="1"/>
  <c r="J167" i="3"/>
  <c r="P167" i="3" s="1"/>
  <c r="H167" i="3"/>
  <c r="G167" i="3"/>
  <c r="M166" i="3"/>
  <c r="M164" i="3"/>
  <c r="P161" i="3"/>
  <c r="J163" i="3"/>
  <c r="P163" i="3" s="1"/>
  <c r="P159" i="3"/>
  <c r="J158" i="3"/>
  <c r="P158" i="3" s="1"/>
  <c r="H158" i="3"/>
  <c r="G158" i="3"/>
  <c r="M157" i="3"/>
  <c r="M156" i="3"/>
  <c r="M155" i="3"/>
  <c r="J153" i="3"/>
  <c r="P153" i="3" s="1"/>
  <c r="J152" i="3"/>
  <c r="Q152" i="3" s="1"/>
  <c r="J148" i="3"/>
  <c r="Q148" i="3" s="1"/>
  <c r="J147" i="3"/>
  <c r="P149" i="3"/>
  <c r="P147" i="3"/>
  <c r="J154" i="3"/>
  <c r="P154" i="3" s="1"/>
  <c r="H147" i="3"/>
  <c r="G147" i="3"/>
  <c r="M146" i="3"/>
  <c r="M144" i="3"/>
  <c r="M145" i="3"/>
  <c r="P134" i="3"/>
  <c r="J143" i="3"/>
  <c r="P143" i="3" s="1"/>
  <c r="P139" i="3"/>
  <c r="J138" i="3"/>
  <c r="P138" i="3" s="1"/>
  <c r="H138" i="3"/>
  <c r="G138" i="3"/>
  <c r="M136" i="3"/>
  <c r="M137" i="3"/>
  <c r="P133" i="3"/>
  <c r="P132" i="3"/>
  <c r="J131" i="3"/>
  <c r="P131" i="3" s="1"/>
  <c r="H131" i="3"/>
  <c r="J135" i="3"/>
  <c r="P135" i="3" s="1"/>
  <c r="M129" i="3"/>
  <c r="M130" i="3"/>
  <c r="J127" i="3"/>
  <c r="P127" i="3" s="1"/>
  <c r="J126" i="3"/>
  <c r="P126" i="3" s="1"/>
  <c r="J128" i="3"/>
  <c r="P128" i="3" s="1"/>
  <c r="J125" i="3"/>
  <c r="P125" i="3" s="1"/>
  <c r="J124" i="3"/>
  <c r="P124" i="3" s="1"/>
  <c r="H124" i="3"/>
  <c r="G124" i="3"/>
  <c r="J116" i="3"/>
  <c r="L116" i="3" s="1"/>
  <c r="L117" i="3" s="1"/>
  <c r="I413" i="3" s="1"/>
  <c r="K115" i="3"/>
  <c r="J115" i="3"/>
  <c r="J114" i="3"/>
  <c r="M114" i="3" s="1"/>
  <c r="J113" i="3"/>
  <c r="M113" i="3" s="1"/>
  <c r="J112" i="3"/>
  <c r="M112" i="3" s="1"/>
  <c r="J111" i="3"/>
  <c r="M111" i="3" s="1"/>
  <c r="M110" i="3"/>
  <c r="M109" i="3"/>
  <c r="J108" i="3"/>
  <c r="M108" i="3" s="1"/>
  <c r="J107" i="3"/>
  <c r="M107" i="3" s="1"/>
  <c r="M106" i="3"/>
  <c r="J105" i="3"/>
  <c r="M105" i="3" s="1"/>
  <c r="J104" i="3"/>
  <c r="M104" i="3" s="1"/>
  <c r="J103" i="3"/>
  <c r="M103" i="3" s="1"/>
  <c r="J102" i="3"/>
  <c r="M102" i="3" s="1"/>
  <c r="J101" i="3"/>
  <c r="M101" i="3" s="1"/>
  <c r="K100" i="3"/>
  <c r="J100" i="3"/>
  <c r="J99" i="3"/>
  <c r="M99" i="3" s="1"/>
  <c r="J98" i="3"/>
  <c r="M98" i="3" s="1"/>
  <c r="J97" i="3"/>
  <c r="M97" i="3" s="1"/>
  <c r="J96" i="3"/>
  <c r="M96" i="3" s="1"/>
  <c r="J95" i="3"/>
  <c r="M95" i="3" s="1"/>
  <c r="J94" i="3"/>
  <c r="M94" i="3" s="1"/>
  <c r="I416" i="3" l="1"/>
  <c r="I417" i="3"/>
  <c r="L414" i="3"/>
  <c r="M344" i="3"/>
  <c r="J414" i="3" s="1"/>
  <c r="J417" i="3" s="1"/>
  <c r="O417" i="3" s="1"/>
  <c r="H344" i="3"/>
  <c r="H414" i="3" s="1"/>
  <c r="H417" i="3" s="1"/>
  <c r="Q344" i="3"/>
  <c r="N414" i="3" s="1"/>
  <c r="P188" i="3"/>
  <c r="P189" i="3"/>
  <c r="M100" i="3"/>
  <c r="G131" i="3"/>
  <c r="G344" i="3" s="1"/>
  <c r="G414" i="3" s="1"/>
  <c r="G417" i="3" s="1"/>
  <c r="M115" i="3"/>
  <c r="M117" i="3" s="1"/>
  <c r="J413" i="3" s="1"/>
  <c r="O413" i="3" s="1"/>
  <c r="H99" i="3"/>
  <c r="H103" i="3"/>
  <c r="G103" i="3"/>
  <c r="G102" i="3"/>
  <c r="H101" i="3"/>
  <c r="G101" i="3"/>
  <c r="H100" i="3"/>
  <c r="G100" i="3"/>
  <c r="G99" i="3"/>
  <c r="H97" i="3"/>
  <c r="G97" i="3"/>
  <c r="H98" i="3"/>
  <c r="G98" i="3"/>
  <c r="H96" i="3"/>
  <c r="G96" i="3"/>
  <c r="H95" i="3"/>
  <c r="G95" i="3"/>
  <c r="H94" i="3"/>
  <c r="G94" i="3"/>
  <c r="P19" i="3"/>
  <c r="J14" i="3"/>
  <c r="P14" i="3" s="1"/>
  <c r="J9" i="3"/>
  <c r="P9" i="3" s="1"/>
  <c r="J82" i="3"/>
  <c r="O82" i="3" s="1"/>
  <c r="O87" i="3" s="1"/>
  <c r="L412" i="3" s="1"/>
  <c r="H82" i="3"/>
  <c r="G82" i="3"/>
  <c r="M81" i="3"/>
  <c r="J79" i="3"/>
  <c r="J80" i="3" s="1"/>
  <c r="P80" i="3" s="1"/>
  <c r="H79" i="3"/>
  <c r="G79" i="3"/>
  <c r="M78" i="3"/>
  <c r="J76" i="3"/>
  <c r="J77" i="3" s="1"/>
  <c r="P77" i="3" s="1"/>
  <c r="H76" i="3"/>
  <c r="G76" i="3"/>
  <c r="M75" i="3"/>
  <c r="P74" i="3"/>
  <c r="P73" i="3"/>
  <c r="J71" i="3"/>
  <c r="J72" i="3" s="1"/>
  <c r="H71" i="3"/>
  <c r="G71" i="3"/>
  <c r="M70" i="3"/>
  <c r="J69" i="3"/>
  <c r="P69" i="3" s="1"/>
  <c r="J63" i="3"/>
  <c r="P63" i="3" s="1"/>
  <c r="J58" i="3"/>
  <c r="P58" i="3" s="1"/>
  <c r="J68" i="3"/>
  <c r="P68" i="3" s="1"/>
  <c r="J66" i="3"/>
  <c r="P66" i="3" s="1"/>
  <c r="P67" i="3" s="1"/>
  <c r="H66" i="3"/>
  <c r="M65" i="3"/>
  <c r="M60" i="3"/>
  <c r="P64" i="3"/>
  <c r="J61" i="3"/>
  <c r="J62" i="3" s="1"/>
  <c r="D61" i="3"/>
  <c r="H61" i="3" s="1"/>
  <c r="J59" i="3"/>
  <c r="P59" i="3" s="1"/>
  <c r="J56" i="3"/>
  <c r="J57" i="3" s="1"/>
  <c r="D56" i="3"/>
  <c r="G56" i="3" s="1"/>
  <c r="M55" i="3"/>
  <c r="J54" i="3"/>
  <c r="P54" i="3" s="1"/>
  <c r="J53" i="3"/>
  <c r="P53" i="3" s="1"/>
  <c r="J51" i="3"/>
  <c r="P51" i="3" s="1"/>
  <c r="P52" i="3" s="1"/>
  <c r="D51" i="3"/>
  <c r="G51" i="3" s="1"/>
  <c r="M50" i="3"/>
  <c r="J46" i="3"/>
  <c r="J47" i="3" s="1"/>
  <c r="J49" i="3"/>
  <c r="P49" i="3" s="1"/>
  <c r="D46" i="3"/>
  <c r="G46" i="3" s="1"/>
  <c r="J48" i="3"/>
  <c r="P48" i="3" s="1"/>
  <c r="J44" i="3"/>
  <c r="P44" i="3" s="1"/>
  <c r="M45" i="3"/>
  <c r="J43" i="3"/>
  <c r="P43" i="3" s="1"/>
  <c r="J41" i="3"/>
  <c r="P41" i="3" s="1"/>
  <c r="P42" i="3" s="1"/>
  <c r="J36" i="3"/>
  <c r="J37" i="3" s="1"/>
  <c r="J7" i="3"/>
  <c r="P7" i="3" s="1"/>
  <c r="J6" i="3"/>
  <c r="P6" i="3" s="1"/>
  <c r="D41" i="3"/>
  <c r="G41" i="3" s="1"/>
  <c r="M40" i="3"/>
  <c r="J38" i="3"/>
  <c r="P38" i="3" s="1"/>
  <c r="J39" i="3"/>
  <c r="P39" i="3" s="1"/>
  <c r="K37" i="3"/>
  <c r="H26" i="3"/>
  <c r="H31" i="3"/>
  <c r="H36" i="3"/>
  <c r="G36" i="3"/>
  <c r="M35" i="3"/>
  <c r="J34" i="3"/>
  <c r="P34" i="3" s="1"/>
  <c r="J33" i="3"/>
  <c r="P33" i="3" s="1"/>
  <c r="J32" i="3"/>
  <c r="J31" i="3"/>
  <c r="P31" i="3" s="1"/>
  <c r="P32" i="3" s="1"/>
  <c r="G31" i="3"/>
  <c r="M30" i="3"/>
  <c r="J29" i="3"/>
  <c r="P29" i="3" s="1"/>
  <c r="J28" i="3"/>
  <c r="P28" i="3" s="1"/>
  <c r="J26" i="3"/>
  <c r="J27" i="3" s="1"/>
  <c r="G26" i="3"/>
  <c r="M25" i="3"/>
  <c r="J24" i="3"/>
  <c r="P24" i="3" s="1"/>
  <c r="J23" i="3"/>
  <c r="P23" i="3" s="1"/>
  <c r="D21" i="3"/>
  <c r="J21" i="3" s="1"/>
  <c r="P21" i="3" s="1"/>
  <c r="M20" i="3"/>
  <c r="J18" i="3"/>
  <c r="P18" i="3" s="1"/>
  <c r="J17" i="3"/>
  <c r="P17" i="3" s="1"/>
  <c r="J16" i="3"/>
  <c r="P16" i="3" s="1"/>
  <c r="D16" i="3"/>
  <c r="G16" i="3" s="1"/>
  <c r="M15" i="3"/>
  <c r="J13" i="3"/>
  <c r="P13" i="3" s="1"/>
  <c r="J8" i="3"/>
  <c r="P8" i="3" s="1"/>
  <c r="P12" i="3"/>
  <c r="P11" i="3"/>
  <c r="D11" i="3"/>
  <c r="H11" i="3" s="1"/>
  <c r="M10" i="3"/>
  <c r="H6" i="3"/>
  <c r="G6" i="3"/>
  <c r="N417" i="3" l="1"/>
  <c r="Q417" i="3" s="1"/>
  <c r="Q414" i="3"/>
  <c r="L417" i="3"/>
  <c r="P414" i="3"/>
  <c r="L416" i="3"/>
  <c r="O414" i="3"/>
  <c r="J52" i="3"/>
  <c r="P344" i="3"/>
  <c r="M414" i="3" s="1"/>
  <c r="M417" i="3" s="1"/>
  <c r="M87" i="3"/>
  <c r="J412" i="3" s="1"/>
  <c r="H46" i="3"/>
  <c r="G117" i="3"/>
  <c r="G413" i="3" s="1"/>
  <c r="J67" i="3"/>
  <c r="H117" i="3"/>
  <c r="H413" i="3" s="1"/>
  <c r="P76" i="3"/>
  <c r="P79" i="3"/>
  <c r="H16" i="3"/>
  <c r="G21" i="3"/>
  <c r="P56" i="3"/>
  <c r="P57" i="3" s="1"/>
  <c r="G11" i="3"/>
  <c r="J22" i="3"/>
  <c r="P22" i="3" s="1"/>
  <c r="H21" i="3"/>
  <c r="H41" i="3"/>
  <c r="J42" i="3"/>
  <c r="H56" i="3"/>
  <c r="P26" i="3"/>
  <c r="P27" i="3" s="1"/>
  <c r="P71" i="3"/>
  <c r="P72" i="3" s="1"/>
  <c r="G66" i="3"/>
  <c r="G61" i="3"/>
  <c r="P61" i="3"/>
  <c r="P62" i="3" s="1"/>
  <c r="H51" i="3"/>
  <c r="P46" i="3"/>
  <c r="P47" i="3" s="1"/>
  <c r="P36" i="3"/>
  <c r="P37" i="3" s="1"/>
  <c r="K69" i="2"/>
  <c r="K70" i="2"/>
  <c r="K71" i="2"/>
  <c r="J71" i="2"/>
  <c r="J70" i="2"/>
  <c r="J69" i="2"/>
  <c r="K66" i="2"/>
  <c r="K68" i="2"/>
  <c r="J68" i="2"/>
  <c r="M67" i="2"/>
  <c r="L82" i="2" s="1"/>
  <c r="J66" i="2"/>
  <c r="K65" i="2"/>
  <c r="J65" i="2"/>
  <c r="E66" i="2"/>
  <c r="G66" i="2" s="1"/>
  <c r="E67" i="2"/>
  <c r="G67" i="2" s="1"/>
  <c r="E68" i="2"/>
  <c r="H68" i="2" s="1"/>
  <c r="E69" i="2"/>
  <c r="H69" i="2" s="1"/>
  <c r="E70" i="2"/>
  <c r="H70" i="2" s="1"/>
  <c r="E71" i="2"/>
  <c r="H71" i="2" s="1"/>
  <c r="E65" i="2"/>
  <c r="G65" i="2" s="1"/>
  <c r="K52" i="2"/>
  <c r="K41" i="2"/>
  <c r="J63" i="2"/>
  <c r="K63" i="2"/>
  <c r="K53" i="2"/>
  <c r="K42" i="2"/>
  <c r="K62" i="2"/>
  <c r="J62" i="2"/>
  <c r="J50" i="2"/>
  <c r="J61" i="2"/>
  <c r="K61" i="2"/>
  <c r="K60" i="2"/>
  <c r="J60" i="2"/>
  <c r="J59" i="2"/>
  <c r="M59" i="2"/>
  <c r="J58" i="2"/>
  <c r="K58" i="2"/>
  <c r="J57" i="2"/>
  <c r="K57" i="2"/>
  <c r="J56" i="2"/>
  <c r="J55" i="2"/>
  <c r="K56" i="2"/>
  <c r="K55" i="2"/>
  <c r="E63" i="2"/>
  <c r="H63" i="2" s="1"/>
  <c r="E62" i="2"/>
  <c r="G62" i="2" s="1"/>
  <c r="E61" i="2"/>
  <c r="H61" i="2" s="1"/>
  <c r="E60" i="2"/>
  <c r="G60" i="2" s="1"/>
  <c r="E59" i="2"/>
  <c r="H59" i="2" s="1"/>
  <c r="E58" i="2"/>
  <c r="H58" i="2" s="1"/>
  <c r="E57" i="2"/>
  <c r="H57" i="2" s="1"/>
  <c r="E56" i="2"/>
  <c r="H56" i="2" s="1"/>
  <c r="E55" i="2"/>
  <c r="H55" i="2" s="1"/>
  <c r="J53" i="2"/>
  <c r="J52" i="2"/>
  <c r="J51" i="2"/>
  <c r="J49" i="2"/>
  <c r="J48" i="2"/>
  <c r="J47" i="2"/>
  <c r="J46" i="2"/>
  <c r="J45" i="2"/>
  <c r="J44" i="2"/>
  <c r="L50" i="2"/>
  <c r="L49" i="2"/>
  <c r="L47" i="2"/>
  <c r="L46" i="2"/>
  <c r="L45" i="2"/>
  <c r="K51" i="2"/>
  <c r="M48" i="2"/>
  <c r="K44" i="2"/>
  <c r="J80" i="2" s="1"/>
  <c r="E53" i="2"/>
  <c r="H53" i="2" s="1"/>
  <c r="E52" i="2"/>
  <c r="G52" i="2" s="1"/>
  <c r="E51" i="2"/>
  <c r="H51" i="2" s="1"/>
  <c r="E50" i="2"/>
  <c r="G50" i="2" s="1"/>
  <c r="E49" i="2"/>
  <c r="H49" i="2" s="1"/>
  <c r="E48" i="2"/>
  <c r="G48" i="2" s="1"/>
  <c r="E47" i="2"/>
  <c r="H47" i="2" s="1"/>
  <c r="E46" i="2"/>
  <c r="G46" i="2" s="1"/>
  <c r="E45" i="2"/>
  <c r="H45" i="2" s="1"/>
  <c r="E44" i="2"/>
  <c r="G44" i="2" s="1"/>
  <c r="J42" i="2"/>
  <c r="J41" i="2"/>
  <c r="K40" i="2"/>
  <c r="J40" i="2"/>
  <c r="L39" i="2"/>
  <c r="J39" i="2"/>
  <c r="L38" i="2"/>
  <c r="J38" i="2"/>
  <c r="M37" i="2"/>
  <c r="L79" i="2" s="1"/>
  <c r="L80" i="2" s="1"/>
  <c r="L81" i="2" s="1"/>
  <c r="J37" i="2"/>
  <c r="L36" i="2"/>
  <c r="J36" i="2"/>
  <c r="J35" i="2"/>
  <c r="L35" i="2"/>
  <c r="L34" i="2"/>
  <c r="J34" i="2"/>
  <c r="K33" i="2"/>
  <c r="J33" i="2"/>
  <c r="E34" i="2"/>
  <c r="H34" i="2" s="1"/>
  <c r="E35" i="2"/>
  <c r="G35" i="2" s="1"/>
  <c r="E36" i="2"/>
  <c r="H36" i="2" s="1"/>
  <c r="E37" i="2"/>
  <c r="G37" i="2" s="1"/>
  <c r="E38" i="2"/>
  <c r="H38" i="2" s="1"/>
  <c r="E39" i="2"/>
  <c r="H39" i="2" s="1"/>
  <c r="E40" i="2"/>
  <c r="H40" i="2" s="1"/>
  <c r="E41" i="2"/>
  <c r="E42" i="2"/>
  <c r="H42" i="2" s="1"/>
  <c r="E33" i="2"/>
  <c r="G33" i="2" s="1"/>
  <c r="G41" i="2"/>
  <c r="G39" i="2"/>
  <c r="K31" i="2"/>
  <c r="J31" i="2"/>
  <c r="L30" i="2"/>
  <c r="J30" i="2"/>
  <c r="L29" i="2"/>
  <c r="J29" i="2"/>
  <c r="L28" i="2"/>
  <c r="J28" i="2"/>
  <c r="K27" i="2"/>
  <c r="J78" i="2" s="1"/>
  <c r="J27" i="2"/>
  <c r="L26" i="2"/>
  <c r="J26" i="2"/>
  <c r="L25" i="2"/>
  <c r="J25" i="2"/>
  <c r="N24" i="2"/>
  <c r="M78" i="2" s="1"/>
  <c r="J24" i="2"/>
  <c r="L23" i="2"/>
  <c r="J23" i="2"/>
  <c r="L22" i="2"/>
  <c r="L21" i="2"/>
  <c r="J22" i="2"/>
  <c r="J21" i="2"/>
  <c r="E31" i="2"/>
  <c r="H31" i="2" s="1"/>
  <c r="E30" i="2"/>
  <c r="G30" i="2" s="1"/>
  <c r="E29" i="2"/>
  <c r="H29" i="2" s="1"/>
  <c r="E28" i="2"/>
  <c r="G28" i="2" s="1"/>
  <c r="E27" i="2"/>
  <c r="H27" i="2" s="1"/>
  <c r="E26" i="2"/>
  <c r="G26" i="2" s="1"/>
  <c r="E25" i="2"/>
  <c r="H25" i="2" s="1"/>
  <c r="E24" i="2"/>
  <c r="G24" i="2" s="1"/>
  <c r="E23" i="2"/>
  <c r="H23" i="2" s="1"/>
  <c r="E22" i="2"/>
  <c r="G22" i="2" s="1"/>
  <c r="E21" i="2"/>
  <c r="H21" i="2" s="1"/>
  <c r="L20" i="2"/>
  <c r="J20" i="2"/>
  <c r="E20" i="2"/>
  <c r="G20" i="2" s="1"/>
  <c r="K18" i="2"/>
  <c r="J77" i="2" s="1"/>
  <c r="J18" i="2"/>
  <c r="H18" i="2"/>
  <c r="G18" i="2"/>
  <c r="E18" i="2"/>
  <c r="J17" i="2"/>
  <c r="H17" i="2"/>
  <c r="G17" i="2"/>
  <c r="E17" i="2"/>
  <c r="L16" i="2"/>
  <c r="J16" i="2"/>
  <c r="H16" i="2"/>
  <c r="G16" i="2"/>
  <c r="E16" i="2"/>
  <c r="L15" i="2"/>
  <c r="J15" i="2"/>
  <c r="H15" i="2"/>
  <c r="G15" i="2"/>
  <c r="E15" i="2"/>
  <c r="L14" i="2"/>
  <c r="J14" i="2"/>
  <c r="H14" i="2"/>
  <c r="G14" i="2"/>
  <c r="E14" i="2"/>
  <c r="L13" i="2"/>
  <c r="J13" i="2"/>
  <c r="H13" i="2"/>
  <c r="G13" i="2"/>
  <c r="E13" i="2"/>
  <c r="L12" i="2"/>
  <c r="J12" i="2"/>
  <c r="H12" i="2"/>
  <c r="G12" i="2"/>
  <c r="E12" i="2"/>
  <c r="M11" i="2"/>
  <c r="J11" i="2"/>
  <c r="H11" i="2"/>
  <c r="G11" i="2"/>
  <c r="E11" i="2"/>
  <c r="M77" i="2"/>
  <c r="J10" i="2"/>
  <c r="H10" i="2"/>
  <c r="G10" i="2"/>
  <c r="E10" i="2"/>
  <c r="M9" i="2"/>
  <c r="J9" i="2"/>
  <c r="H9" i="2"/>
  <c r="G9" i="2"/>
  <c r="E9" i="2"/>
  <c r="J8" i="2"/>
  <c r="H8" i="2"/>
  <c r="G8" i="2"/>
  <c r="E8" i="2"/>
  <c r="J7" i="2"/>
  <c r="H7" i="2"/>
  <c r="G7" i="2"/>
  <c r="E7" i="2"/>
  <c r="M6" i="2"/>
  <c r="J6" i="2"/>
  <c r="H6" i="2"/>
  <c r="G6" i="2"/>
  <c r="E6" i="2"/>
  <c r="M83" i="2" l="1"/>
  <c r="G69" i="2"/>
  <c r="K78" i="2"/>
  <c r="K80" i="2"/>
  <c r="J82" i="2"/>
  <c r="H77" i="2"/>
  <c r="J79" i="2"/>
  <c r="J416" i="3"/>
  <c r="O416" i="3" s="1"/>
  <c r="O412" i="3"/>
  <c r="L77" i="2"/>
  <c r="L83" i="2" s="1"/>
  <c r="P83" i="2" s="1"/>
  <c r="K79" i="2"/>
  <c r="P417" i="3"/>
  <c r="G77" i="2"/>
  <c r="I77" i="2"/>
  <c r="K77" i="2"/>
  <c r="K83" i="2" s="1"/>
  <c r="I78" i="2"/>
  <c r="I79" i="2"/>
  <c r="I80" i="2"/>
  <c r="J81" i="2"/>
  <c r="I81" i="2"/>
  <c r="I82" i="2"/>
  <c r="G87" i="3"/>
  <c r="G412" i="3" s="1"/>
  <c r="G416" i="3" s="1"/>
  <c r="P87" i="3"/>
  <c r="M412" i="3" s="1"/>
  <c r="H87" i="3"/>
  <c r="H412" i="3" s="1"/>
  <c r="H416" i="3" s="1"/>
  <c r="H65" i="2"/>
  <c r="H66" i="2"/>
  <c r="G68" i="2"/>
  <c r="G71" i="2"/>
  <c r="H50" i="2"/>
  <c r="H26" i="2"/>
  <c r="G59" i="2"/>
  <c r="G55" i="2"/>
  <c r="G70" i="2"/>
  <c r="H67" i="2"/>
  <c r="G57" i="2"/>
  <c r="G61" i="2"/>
  <c r="G63" i="2"/>
  <c r="H60" i="2"/>
  <c r="H62" i="2"/>
  <c r="G56" i="2"/>
  <c r="G58" i="2"/>
  <c r="H44" i="2"/>
  <c r="G45" i="2"/>
  <c r="H46" i="2"/>
  <c r="G47" i="2"/>
  <c r="H48" i="2"/>
  <c r="G49" i="2"/>
  <c r="G51" i="2"/>
  <c r="H52" i="2"/>
  <c r="G53" i="2"/>
  <c r="G34" i="2"/>
  <c r="H35" i="2"/>
  <c r="G36" i="2"/>
  <c r="G38" i="2"/>
  <c r="H33" i="2"/>
  <c r="H37" i="2"/>
  <c r="G40" i="2"/>
  <c r="H41" i="2"/>
  <c r="G42" i="2"/>
  <c r="G21" i="2"/>
  <c r="H20" i="2"/>
  <c r="H22" i="2"/>
  <c r="G23" i="2"/>
  <c r="H24" i="2"/>
  <c r="G25" i="2"/>
  <c r="G27" i="2"/>
  <c r="H28" i="2"/>
  <c r="G29" i="2"/>
  <c r="H30" i="2"/>
  <c r="G31" i="2"/>
  <c r="Q11" i="1"/>
  <c r="Q12" i="1"/>
  <c r="Q13" i="1"/>
  <c r="Q14" i="1"/>
  <c r="Q15" i="1"/>
  <c r="Q16" i="1"/>
  <c r="Q17" i="1"/>
  <c r="Q18" i="1"/>
  <c r="Q19" i="1"/>
  <c r="Q10" i="1"/>
  <c r="N28" i="1"/>
  <c r="I28" i="1"/>
  <c r="J28" i="1"/>
  <c r="I27" i="1"/>
  <c r="J27" i="1"/>
  <c r="H22" i="1"/>
  <c r="H25" i="1"/>
  <c r="H28" i="1"/>
  <c r="F27" i="1"/>
  <c r="H27" i="1"/>
  <c r="G26" i="1"/>
  <c r="E26" i="1"/>
  <c r="F28" i="1"/>
  <c r="F25" i="1"/>
  <c r="F22" i="1"/>
  <c r="F24" i="1"/>
  <c r="E23" i="1"/>
  <c r="G23" i="1" s="1"/>
  <c r="H24" i="1"/>
  <c r="N22" i="1"/>
  <c r="I22" i="1"/>
  <c r="J22" i="1"/>
  <c r="J21" i="1"/>
  <c r="H21" i="1"/>
  <c r="F21" i="1"/>
  <c r="I36" i="1" s="1"/>
  <c r="E20" i="1"/>
  <c r="E13" i="1"/>
  <c r="G13" i="1"/>
  <c r="H13" i="1"/>
  <c r="F13" i="1"/>
  <c r="H12" i="1"/>
  <c r="G12" i="1"/>
  <c r="F12" i="1"/>
  <c r="E12" i="1"/>
  <c r="J19" i="1"/>
  <c r="K19" i="1"/>
  <c r="N19" i="1"/>
  <c r="H19" i="1"/>
  <c r="G19" i="1"/>
  <c r="F19" i="1"/>
  <c r="E19" i="1"/>
  <c r="J18" i="1"/>
  <c r="K18" i="1"/>
  <c r="N18" i="1"/>
  <c r="H18" i="1"/>
  <c r="G18" i="1"/>
  <c r="F18" i="1"/>
  <c r="E18" i="1"/>
  <c r="K17" i="1"/>
  <c r="J17" i="1"/>
  <c r="N17" i="1"/>
  <c r="H17" i="1"/>
  <c r="G17" i="1"/>
  <c r="F17" i="1"/>
  <c r="E17" i="1"/>
  <c r="M416" i="3" l="1"/>
  <c r="P416" i="3" s="1"/>
  <c r="P412" i="3"/>
  <c r="I83" i="2"/>
  <c r="N83" i="2" s="1"/>
  <c r="J83" i="2"/>
  <c r="O83" i="2" s="1"/>
  <c r="J24" i="1"/>
  <c r="M36" i="1" s="1"/>
  <c r="I25" i="1"/>
  <c r="L36" i="1" s="1"/>
  <c r="G20" i="1"/>
  <c r="J36" i="1" s="1"/>
  <c r="H36" i="1"/>
  <c r="N25" i="1"/>
  <c r="Q36" i="1" s="1"/>
  <c r="C7" i="1"/>
  <c r="J25" i="1"/>
  <c r="G79" i="2"/>
  <c r="G80" i="2"/>
  <c r="G82" i="2"/>
  <c r="G78" i="2"/>
  <c r="H81" i="2"/>
  <c r="H78" i="2"/>
  <c r="H79" i="2"/>
  <c r="H82" i="2"/>
  <c r="H80" i="2"/>
  <c r="G81" i="2"/>
  <c r="C8" i="1"/>
  <c r="I8" i="1" s="1"/>
  <c r="J16" i="1"/>
  <c r="K16" i="1"/>
  <c r="N16" i="1"/>
  <c r="H16" i="1"/>
  <c r="G16" i="1"/>
  <c r="F16" i="1"/>
  <c r="E16" i="1"/>
  <c r="G11" i="1"/>
  <c r="G15" i="1"/>
  <c r="H15" i="1"/>
  <c r="H11" i="1"/>
  <c r="H10" i="1"/>
  <c r="H14" i="1"/>
  <c r="G14" i="1"/>
  <c r="G10" i="1"/>
  <c r="E14" i="1"/>
  <c r="J15" i="1"/>
  <c r="K15" i="1"/>
  <c r="N15" i="1"/>
  <c r="F15" i="1"/>
  <c r="E15" i="1"/>
  <c r="J14" i="1"/>
  <c r="K14" i="1"/>
  <c r="N14" i="1"/>
  <c r="F14" i="1"/>
  <c r="F10" i="1"/>
  <c r="I35" i="1" s="1"/>
  <c r="F11" i="1"/>
  <c r="J11" i="1"/>
  <c r="J12" i="1" s="1"/>
  <c r="K11" i="1"/>
  <c r="K12" i="1" s="1"/>
  <c r="N11" i="1"/>
  <c r="N12" i="1" s="1"/>
  <c r="N13" i="1" s="1"/>
  <c r="E11" i="1"/>
  <c r="J10" i="1"/>
  <c r="K10" i="1"/>
  <c r="N10" i="1"/>
  <c r="Q35" i="1" s="1"/>
  <c r="E10" i="1"/>
  <c r="J35" i="1" l="1"/>
  <c r="G83" i="2"/>
  <c r="L7" i="1"/>
  <c r="O34" i="1" s="1"/>
  <c r="I7" i="1"/>
  <c r="K34" i="1"/>
  <c r="H35" i="1"/>
  <c r="R7" i="1"/>
  <c r="K13" i="1"/>
  <c r="N35" i="1" s="1"/>
  <c r="T35" i="1" s="1"/>
  <c r="N7" i="1"/>
  <c r="F7" i="1"/>
  <c r="J13" i="1"/>
  <c r="M35" i="1" s="1"/>
  <c r="S35" i="1" s="1"/>
  <c r="R8" i="1"/>
  <c r="N8" i="1"/>
  <c r="H83" i="2"/>
  <c r="M8" i="1"/>
  <c r="P34" i="1" s="1"/>
  <c r="F8" i="1"/>
  <c r="R34" i="1" l="1"/>
  <c r="I34" i="1"/>
  <c r="L34" i="1"/>
  <c r="Q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Viet Binh</author>
  </authors>
  <commentList>
    <comment ref="T3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Viet Binh: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Viet Binh</author>
  </authors>
  <commentList>
    <comment ref="P8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Viet Binh: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<sst xmlns="http://schemas.openxmlformats.org/spreadsheetml/2006/main" count="760" uniqueCount="301">
  <si>
    <t>STT</t>
  </si>
  <si>
    <t>HẠNG MỤC</t>
  </si>
  <si>
    <t>MÓNG</t>
  </si>
  <si>
    <t>BT M150</t>
  </si>
  <si>
    <t>BT M300</t>
  </si>
  <si>
    <t>CỌC</t>
  </si>
  <si>
    <t>D6</t>
  </si>
  <si>
    <t>D8</t>
  </si>
  <si>
    <t>D10</t>
  </si>
  <si>
    <t>D12</t>
  </si>
  <si>
    <t>D16</t>
  </si>
  <si>
    <t>D14</t>
  </si>
  <si>
    <t>D22</t>
  </si>
  <si>
    <t>D25</t>
  </si>
  <si>
    <t>D18</t>
  </si>
  <si>
    <t>M3</t>
  </si>
  <si>
    <t>M3A</t>
  </si>
  <si>
    <t>VK LÓT</t>
  </si>
  <si>
    <t>VK M300</t>
  </si>
  <si>
    <t>M4</t>
  </si>
  <si>
    <t>M4A</t>
  </si>
  <si>
    <t>M5</t>
  </si>
  <si>
    <t>M5A</t>
  </si>
  <si>
    <t>M2(1.625X0.6)</t>
  </si>
  <si>
    <t>M2(1.6X0.6)</t>
  </si>
  <si>
    <t>M1(0.6X0.6)</t>
  </si>
  <si>
    <t>M2*(3.3X0.6)</t>
  </si>
  <si>
    <t>HỐ PÍT 1,2</t>
  </si>
  <si>
    <t>HỐ PÍT 3</t>
  </si>
  <si>
    <t>HỐ PÍT 4</t>
  </si>
  <si>
    <t xml:space="preserve"> ĐÁY</t>
  </si>
  <si>
    <t xml:space="preserve"> THÀNH</t>
  </si>
  <si>
    <t>D350</t>
  </si>
  <si>
    <t>D500</t>
  </si>
  <si>
    <t>ĐK CỌC</t>
  </si>
  <si>
    <t>SUM SL</t>
  </si>
  <si>
    <t>SL CỌC</t>
  </si>
  <si>
    <t>C1</t>
  </si>
  <si>
    <t>C2</t>
  </si>
  <si>
    <t>C3</t>
  </si>
  <si>
    <t>C3a</t>
  </si>
  <si>
    <t>C2a</t>
  </si>
  <si>
    <t>C4</t>
  </si>
  <si>
    <t>C5</t>
  </si>
  <si>
    <t>C6</t>
  </si>
  <si>
    <t>C7</t>
  </si>
  <si>
    <t>C8</t>
  </si>
  <si>
    <t>C9</t>
  </si>
  <si>
    <t>C10</t>
  </si>
  <si>
    <t>C7a</t>
  </si>
  <si>
    <t>H CỘT</t>
  </si>
  <si>
    <t>0.4x0.4</t>
  </si>
  <si>
    <t>0.5x0.5</t>
  </si>
  <si>
    <t>0.3x0.2</t>
  </si>
  <si>
    <t>0.4x0.2</t>
  </si>
  <si>
    <t>ĐÀO ĐẤT</t>
  </si>
  <si>
    <t>K.THƯỚC</t>
  </si>
  <si>
    <t>D0.4</t>
  </si>
  <si>
    <t>V.KHUÔN</t>
  </si>
  <si>
    <t>SL CẤU KIỆN</t>
  </si>
  <si>
    <t>Khối lượng Cột chờ đài cọc đến tầng 2</t>
  </si>
  <si>
    <t>Khối lượng Cột tầng 2 đến tầng 3</t>
  </si>
  <si>
    <t>0.3x0.3</t>
  </si>
  <si>
    <t>Khối lượng Cột tầng 3 đến tầng 4</t>
  </si>
  <si>
    <t>Khối lượng Cột tầng 4 đến tầng 5</t>
  </si>
  <si>
    <t>Khối lượng Cột tầng 5 đến tầng thượng</t>
  </si>
  <si>
    <t>Khối lượng Cột tầng tầng thượng đến tầng mái</t>
  </si>
  <si>
    <t>CC1</t>
  </si>
  <si>
    <t>C2,C2a</t>
  </si>
  <si>
    <t>KHỐI LƯỢNG CỘT</t>
  </si>
  <si>
    <t>KHỐI LƯỢNG MÓNG</t>
  </si>
  <si>
    <t>SL</t>
  </si>
  <si>
    <t>B</t>
  </si>
  <si>
    <t>L</t>
  </si>
  <si>
    <t>H</t>
  </si>
  <si>
    <t>THÉP</t>
  </si>
  <si>
    <t>DẦM M-GX3(Y1-Y4,Y7-Y10)</t>
  </si>
  <si>
    <t>KÝ HIỆU</t>
  </si>
  <si>
    <t>SL CK</t>
  </si>
  <si>
    <t>SLTHANH</t>
  </si>
  <si>
    <t>L THÉP</t>
  </si>
  <si>
    <t>ĐAI</t>
  </si>
  <si>
    <t>DẦM M-GX4(Y3-Y4,Y7-Y8)</t>
  </si>
  <si>
    <t>DẦM M-BX4(Y3-Y4,Y7-Y8)</t>
  </si>
  <si>
    <t>DẦM M-BX5,M-GX5(Y3-Y4,Y7-Y8)</t>
  </si>
  <si>
    <t>DẦM M-GX8,M-GX9(Y5-Y6)</t>
  </si>
  <si>
    <t>DẦM M-GX10,M-GX11,M-GX12</t>
  </si>
  <si>
    <t>DẦM M-GX13</t>
  </si>
  <si>
    <t>DẦM M-GY1</t>
  </si>
  <si>
    <t>DẦM M-GY10</t>
  </si>
  <si>
    <t>DẦM M-GY2</t>
  </si>
  <si>
    <t>DẦM M-GY4,M-GY7(X3-X5)</t>
  </si>
  <si>
    <t>DẦM M-GY8,M-GY9(X11-X13)</t>
  </si>
  <si>
    <t>DẦM M-GY3,M-GY8(X4-X5-X6)</t>
  </si>
  <si>
    <t>DẦM M-GY5,M-GY6,6a,6b(X8-X9)</t>
  </si>
  <si>
    <t>DẦM M-B1(L=1.8)</t>
  </si>
  <si>
    <t>DẦM M-B1(L=2.3)</t>
  </si>
  <si>
    <t>DẦM DM(DẦM MÔI)</t>
  </si>
  <si>
    <t>SÀN TẦNG MÁI</t>
  </si>
  <si>
    <t>BÊ TÔNG SÀN (X3-X10/Y1)</t>
  </si>
  <si>
    <t>BÊ TÔNG SÀN (X10-X13/Y2)</t>
  </si>
  <si>
    <t>BÊ TÔNG SÀN (X10/Y1-Y2)</t>
  </si>
  <si>
    <t>BÊ TÔNG SÀN (X3-X4/Y4,Y7)</t>
  </si>
  <si>
    <t>BÊ TÔNG SÀN (X3/Y1-Y4,Y7-Y10)</t>
  </si>
  <si>
    <t>BÊ TÔNG SÀN (X4-X9/Y3-Y4,Y7-Y8)</t>
  </si>
  <si>
    <t>BÊ TÔNG SÀN (X3-X11/Y10)</t>
  </si>
  <si>
    <t>BÊ TÔNG SÀN (X13/Y2-Y8)</t>
  </si>
  <si>
    <t>BÊ TÔNG SÀN (X11-X13/Y8-Y10)</t>
  </si>
  <si>
    <t>BÊ TÔNG SÀN (X8-X9/Y5-Y6)</t>
  </si>
  <si>
    <t>BX1</t>
  </si>
  <si>
    <t>BX3</t>
  </si>
  <si>
    <t>BX4</t>
  </si>
  <si>
    <t>BY2</t>
  </si>
  <si>
    <t>BY3</t>
  </si>
  <si>
    <t>BY4</t>
  </si>
  <si>
    <t>TX1</t>
  </si>
  <si>
    <t>TX2</t>
  </si>
  <si>
    <t>TX3</t>
  </si>
  <si>
    <t>TX4</t>
  </si>
  <si>
    <t>TX5</t>
  </si>
  <si>
    <t>TX6</t>
  </si>
  <si>
    <t>TX7</t>
  </si>
  <si>
    <t>TX8</t>
  </si>
  <si>
    <t>TY1</t>
  </si>
  <si>
    <t>TY2</t>
  </si>
  <si>
    <t>TY3</t>
  </si>
  <si>
    <t>TY4</t>
  </si>
  <si>
    <t>TY5</t>
  </si>
  <si>
    <t>TY6</t>
  </si>
  <si>
    <t>TY7-1</t>
  </si>
  <si>
    <t>TY7-2</t>
  </si>
  <si>
    <t>TỔNG KHỐI LƯỢNG SÀN TẦNG MÁI</t>
  </si>
  <si>
    <t>TỔNG KHỐI LƯỢNG DẦM TẦNG MÁI</t>
  </si>
  <si>
    <t>BÊ TÔNG</t>
  </si>
  <si>
    <t>ĐƠN VỊ</t>
  </si>
  <si>
    <t>THÉP SÀN</t>
  </si>
  <si>
    <t>BÊ TÔNG SÀN</t>
  </si>
  <si>
    <t>DẦM ST-GX3(Y1-Y4,Y7-Y10)</t>
  </si>
  <si>
    <t>ĐAI b</t>
  </si>
  <si>
    <t>ĐAI d</t>
  </si>
  <si>
    <t>3,4</t>
  </si>
  <si>
    <t>3,4,5,6</t>
  </si>
  <si>
    <t>7,8</t>
  </si>
  <si>
    <t>3,4,5a,1a,7</t>
  </si>
  <si>
    <t>1,5</t>
  </si>
  <si>
    <t>8,9</t>
  </si>
  <si>
    <t>ĐAI c</t>
  </si>
  <si>
    <t>9,10</t>
  </si>
  <si>
    <t>3,4,5,1a,</t>
  </si>
  <si>
    <t>3,5,7,9</t>
  </si>
  <si>
    <t>4,6</t>
  </si>
  <si>
    <t>DẦM ST-GX4(Y1-Y10)</t>
  </si>
  <si>
    <t>DẦM ST-GX5(Y1-Y10)</t>
  </si>
  <si>
    <t>DẦM ST-GX6,7,8(Y1-Y4,Y7-Y10)</t>
  </si>
  <si>
    <t>DẦM ST-GX9(Y1-Y10)</t>
  </si>
  <si>
    <t>DẦM ST-GX10(Y1-Y10)</t>
  </si>
  <si>
    <t>DẦM ST-GX11(Y1-Y10)</t>
  </si>
  <si>
    <t>3,5,6</t>
  </si>
  <si>
    <t>4,8</t>
  </si>
  <si>
    <t>DẦM ST-GX12(Y1-Y10)</t>
  </si>
  <si>
    <t>DẦM ST-GX13(Y1-Y10)</t>
  </si>
  <si>
    <t>DẦM ST-GY10</t>
  </si>
  <si>
    <t>DẦM ST-GY2, ST-GY3, ST-GY8</t>
  </si>
  <si>
    <t>DẦM ST-GY4,ST-GY7</t>
  </si>
  <si>
    <t>3,5</t>
  </si>
  <si>
    <t>DẦM ST-GY9</t>
  </si>
  <si>
    <t>3,7</t>
  </si>
  <si>
    <t>DẦM ST-GY10A</t>
  </si>
  <si>
    <t>DẦM ST-GY5,ST-GY6( X9-X13)</t>
  </si>
  <si>
    <t>3,5,7</t>
  </si>
  <si>
    <t>4,6,8</t>
  </si>
  <si>
    <t>ĐAI a</t>
  </si>
  <si>
    <t>DẦM MÔI DM1</t>
  </si>
  <si>
    <t>DẦM MÔI DM-</t>
  </si>
  <si>
    <t>DẦM ST-GY1</t>
  </si>
  <si>
    <t>3,4,5</t>
  </si>
  <si>
    <t>DẦM ST-BY4,ST-BY6(X3-X6)</t>
  </si>
  <si>
    <t>DẦM ST-GY5,ST-GY6(X4-X5)</t>
  </si>
  <si>
    <t>DẦM ST-BX3(Y1-Y4,Y7-Y10)</t>
  </si>
  <si>
    <t>DẦM ST-BX4(Y1-Y3,Y8-Y10)</t>
  </si>
  <si>
    <t>DẦM ST-BX5(Y1-Y2,Y9-Y10)</t>
  </si>
  <si>
    <t>DẦM ST-Bx5,(Y2-Y4,Y7-Y9)</t>
  </si>
  <si>
    <t>1a</t>
  </si>
  <si>
    <t>DẦM ST-BX6,7,8,(Y1-Y4,Y7-Y10)</t>
  </si>
  <si>
    <t>DẦM ST-BX9,(Y1-Y10)</t>
  </si>
  <si>
    <t>DẦM ST-BX10,(Y1-Y10)</t>
  </si>
  <si>
    <t>DẦM ST-BX11,(Y1-Y10)</t>
  </si>
  <si>
    <t>DẦM ST-BX12,(Y1-Y10)</t>
  </si>
  <si>
    <t>DẦM ST-BY3,ST-BY7(X5-X6)</t>
  </si>
  <si>
    <t>DẦM ST-BY1,(X10-X11)</t>
  </si>
  <si>
    <t>DẦM ST-BX4,(Y5-Y6)</t>
  </si>
  <si>
    <t>TỔNG KHỐI LƯỢNG DẦM TẦNG THƯỢNG</t>
  </si>
  <si>
    <t>CẤU TẠO</t>
  </si>
  <si>
    <t>SÀN TẦNG SÂN THƯỢNG</t>
  </si>
  <si>
    <t>SÀN TẦNG THƯỢNG</t>
  </si>
  <si>
    <t>DIỆN TÍCH</t>
  </si>
  <si>
    <t xml:space="preserve">DIỆN TÍCH TOÀN SÀN </t>
  </si>
  <si>
    <t>DIỆN TÍCH THÔNG TẦNG</t>
  </si>
  <si>
    <t>DIỆN TÍCH THANG MÁY</t>
  </si>
  <si>
    <t>BX11</t>
  </si>
  <si>
    <t>BX12</t>
  </si>
  <si>
    <t>BX13</t>
  </si>
  <si>
    <t>BX14</t>
  </si>
  <si>
    <t>BX15</t>
  </si>
  <si>
    <t>BX16</t>
  </si>
  <si>
    <t>BX2</t>
  </si>
  <si>
    <t>BX3a</t>
  </si>
  <si>
    <t>BX3b</t>
  </si>
  <si>
    <t>BX5</t>
  </si>
  <si>
    <t>BX7</t>
  </si>
  <si>
    <t>BX8</t>
  </si>
  <si>
    <t>BX9</t>
  </si>
  <si>
    <t>BY1</t>
  </si>
  <si>
    <t>BY12</t>
  </si>
  <si>
    <t>BY13</t>
  </si>
  <si>
    <t>BY14</t>
  </si>
  <si>
    <t>BY16</t>
  </si>
  <si>
    <t>BY15</t>
  </si>
  <si>
    <t>BY15a</t>
  </si>
  <si>
    <t>BY3a</t>
  </si>
  <si>
    <t>BY5</t>
  </si>
  <si>
    <t>BY6</t>
  </si>
  <si>
    <t>BY7</t>
  </si>
  <si>
    <t>BY8</t>
  </si>
  <si>
    <t>BY9</t>
  </si>
  <si>
    <t>TX10</t>
  </si>
  <si>
    <t>TX11</t>
  </si>
  <si>
    <t>TX12</t>
  </si>
  <si>
    <t>TX13</t>
  </si>
  <si>
    <t>TX14</t>
  </si>
  <si>
    <t>TX15</t>
  </si>
  <si>
    <t>TX16</t>
  </si>
  <si>
    <t>TY7</t>
  </si>
  <si>
    <t>TY8</t>
  </si>
  <si>
    <t>TY14</t>
  </si>
  <si>
    <t>TỔNG HỢP KHỐI LƯỢNG CỘT</t>
  </si>
  <si>
    <t>KHỐI LƯỢNG TỪ MÓNG ĐẾN TẦNG 2</t>
  </si>
  <si>
    <t>KHỐI LƯỢNG TỪ TẦNG 2 ĐẾN TẦNG 3</t>
  </si>
  <si>
    <t>KHỐI LƯỢNG TỪ TẦNG 3 ĐẾN TẦNG 4</t>
  </si>
  <si>
    <t>KHỐI LƯỢNG TỪ TẦNG 4 ĐẾN TẦNG 5</t>
  </si>
  <si>
    <t>KHỐI LƯỢNG TỪ TẦNG 5 ĐẾN TẦNG SÂN THƯỢNG</t>
  </si>
  <si>
    <t>KHỐI LƯỢNG TỪ  TẦNG SÂN THƯỢNG ĐẾN SÀN MÁI</t>
  </si>
  <si>
    <t>BÊ TÔNG M300</t>
  </si>
  <si>
    <t>m3</t>
  </si>
  <si>
    <t>VÁN KHUÔN</t>
  </si>
  <si>
    <t>m2</t>
  </si>
  <si>
    <t>D10&lt;D&lt;=D18</t>
  </si>
  <si>
    <t>DANH MỤC THI CÔNG</t>
  </si>
  <si>
    <t>ĐƠN VỊ TÍNH</t>
  </si>
  <si>
    <t>THÉP( KG)</t>
  </si>
  <si>
    <t>D&gt;D18</t>
  </si>
  <si>
    <t>D&lt;= D10</t>
  </si>
  <si>
    <t>BẢNG TỔNG HỢP KHỐI LƯỢNG CỘT</t>
  </si>
  <si>
    <t>KHỐI LƯỢNG SÀN TẦNG MÁI</t>
  </si>
  <si>
    <t>KHỐI LƯỢNG DẦM TẦNG MÁI</t>
  </si>
  <si>
    <t>KHỐI LƯỢNG SÀN TẦNG THƯỢNG</t>
  </si>
  <si>
    <t>HẠNG MỤC THI CÔNG</t>
  </si>
  <si>
    <t>TỔNG KHỐI LƯỢNG DẦM TẦNG SÂN THƯỢNG</t>
  </si>
  <si>
    <t>TỔNG KHỐI LƯỢNG SÀN TẦNG SÂN THƯỢNG</t>
  </si>
  <si>
    <t>TỔNG KHỐI LƯƠNG DẦM SÀN TẦNG MÁI</t>
  </si>
  <si>
    <t>TỔNG KHỐI LƯƠNG DẦM SÀN TẦNG SÂN THƯỢNG</t>
  </si>
  <si>
    <t>BẢNG TỔNG KHỐI LƯỢNG DẦM SÀN TẦNG THƯỢNG &amp; TẦNG MÁI</t>
  </si>
  <si>
    <t>THÉP(KG)</t>
  </si>
  <si>
    <t>THỐNG KÊ THÉP(KG)</t>
  </si>
  <si>
    <t>THỐNG KÊ THÉP (KG)</t>
  </si>
  <si>
    <t>TẤM THÉP BỊT ĐẦU CỌC</t>
  </si>
  <si>
    <t>DÀY 1.5mm( KG)</t>
  </si>
  <si>
    <t>BẢNG TỔNG HỢP KHỐI LƯỢNG MÓNG</t>
  </si>
  <si>
    <t>D&gt;=10</t>
  </si>
  <si>
    <t>KHỐI LƯỢNG HỐ PIT</t>
  </si>
  <si>
    <t>KHỐI LƯỢNG CỌC</t>
  </si>
  <si>
    <t>THÉP TẤM</t>
  </si>
  <si>
    <t>BÊ TÔNG M150</t>
  </si>
  <si>
    <t>CẮT CỌC</t>
  </si>
  <si>
    <t>S LCOC</t>
  </si>
  <si>
    <t>DẦM  TẦNG THƯỢNG</t>
  </si>
  <si>
    <t>DẦM 2-GY5,2-GY6</t>
  </si>
  <si>
    <t>DẦM 2-GY4,2-GY7</t>
  </si>
  <si>
    <t>DẦM 2-GX 1b</t>
  </si>
  <si>
    <t>DẦM 2-GX 1a</t>
  </si>
  <si>
    <t>TỔNG KHỐI LƯỢNG DẦM MÁI ĐÓN</t>
  </si>
  <si>
    <t>SÀN MÁI ĐÓN</t>
  </si>
  <si>
    <t>DẦM  SÀN MÁI ĐÓN</t>
  </si>
  <si>
    <t>DẦM  SÀN RAM DỐC SỐ 1</t>
  </si>
  <si>
    <t>DẦM 1-GX1A</t>
  </si>
  <si>
    <t>DẦM 1-BY4,1-BY7(TRONG)</t>
  </si>
  <si>
    <t>DẦM 1-BY4,1-BY7(NGOÀI)</t>
  </si>
  <si>
    <t>DẦM 1-GX1B</t>
  </si>
  <si>
    <t>DẦM  SÀN RAM DỐC SỐ 2</t>
  </si>
  <si>
    <t>DẦM 1-GX3</t>
  </si>
  <si>
    <t>DẦM 1-GY1A</t>
  </si>
  <si>
    <t>SÀN</t>
  </si>
  <si>
    <t>DẦM  SÀN RAM DỐC SỐ 3</t>
  </si>
  <si>
    <t>DẦM 1-GX11</t>
  </si>
  <si>
    <t>3a</t>
  </si>
  <si>
    <t>5a</t>
  </si>
  <si>
    <t>TỔNG KHỐI LƯỢNG MÁI ĐÓN</t>
  </si>
  <si>
    <t>TỔNG KHỐI LƯỢNG RAM DỐC 1</t>
  </si>
  <si>
    <t>TỔNG KHỐI LƯỢNG RAM DỐC 2</t>
  </si>
  <si>
    <t>TỔNG KHỐI LƯỢNG RAM DỐC 3</t>
  </si>
  <si>
    <t>BẢNG TỔNG KHỐI LƯỢNG MÁI ĐÓN VÀ RAM DỐC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</si>
</sst>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Times New Roman"/>
      <family val="1"/>
    </font>
    <font>
      <sz val="11"/>
      <name val="Times New Roman"/>
      <family val="1"/>
    </font>
    <font>
      <sz val="10"/>
      <color theme="1"/>
      <name val="Calibri"/>
      <family val="2"/>
      <scheme val="minor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2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6"/>
      <name val="Calibri"/>
      <family val="2"/>
      <scheme val="minor"/>
    </font>
    <font>
      <b/>
      <i/>
      <sz val="20"/>
      <name val="Times New Roman"/>
      <family val="1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0" fontId="5" fillId="0" borderId="1" xfId="0" applyFont="1" applyBorder="1"/>
    <xf numFmtId="164" fontId="5" fillId="0" borderId="1" xfId="0" applyNumberFormat="1" applyFont="1" applyBorder="1"/>
    <xf numFmtId="0" fontId="2" fillId="0" borderId="0" xfId="0" applyFont="1"/>
    <xf numFmtId="0" fontId="6" fillId="0" borderId="0" xfId="0" applyFont="1"/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/>
    <xf numFmtId="0" fontId="7" fillId="0" borderId="1" xfId="0" applyFont="1" applyBorder="1"/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8" fillId="0" borderId="0" xfId="0" applyFont="1" applyAlignment="1">
      <alignment horizontal="center"/>
    </xf>
    <xf numFmtId="0" fontId="10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center" vertical="center"/>
    </xf>
    <xf numFmtId="0" fontId="8" fillId="0" borderId="5" xfId="0" applyFont="1" applyBorder="1"/>
    <xf numFmtId="0" fontId="8" fillId="0" borderId="5" xfId="0" applyFont="1" applyBorder="1" applyAlignment="1">
      <alignment horizontal="center" vertical="center"/>
    </xf>
    <xf numFmtId="0" fontId="8" fillId="0" borderId="3" xfId="0" applyFont="1" applyBorder="1"/>
    <xf numFmtId="0" fontId="8" fillId="0" borderId="3" xfId="0" applyFont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center" vertical="center"/>
    </xf>
    <xf numFmtId="0" fontId="8" fillId="0" borderId="13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3" xfId="0" applyFont="1" applyBorder="1"/>
    <xf numFmtId="0" fontId="7" fillId="0" borderId="0" xfId="0" applyFont="1"/>
    <xf numFmtId="0" fontId="7" fillId="0" borderId="2" xfId="0" applyFont="1" applyBorder="1"/>
    <xf numFmtId="0" fontId="7" fillId="0" borderId="4" xfId="0" applyFont="1" applyBorder="1"/>
    <xf numFmtId="0" fontId="8" fillId="0" borderId="3" xfId="0" applyFont="1" applyBorder="1" applyAlignment="1">
      <alignment horizontal="right"/>
    </xf>
    <xf numFmtId="164" fontId="8" fillId="0" borderId="3" xfId="0" applyNumberFormat="1" applyFont="1" applyBorder="1"/>
    <xf numFmtId="0" fontId="8" fillId="0" borderId="3" xfId="0" applyFont="1" applyBorder="1" applyAlignment="1">
      <alignment horizontal="center"/>
    </xf>
    <xf numFmtId="0" fontId="10" fillId="0" borderId="5" xfId="0" applyFont="1" applyBorder="1"/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64" fontId="7" fillId="0" borderId="7" xfId="0" applyNumberFormat="1" applyFont="1" applyBorder="1"/>
    <xf numFmtId="164" fontId="1" fillId="0" borderId="1" xfId="0" applyNumberFormat="1" applyFont="1" applyBorder="1"/>
    <xf numFmtId="0" fontId="3" fillId="0" borderId="1" xfId="0" applyFont="1" applyBorder="1"/>
    <xf numFmtId="0" fontId="3" fillId="0" borderId="7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6" xfId="0" applyFont="1" applyBorder="1"/>
    <xf numFmtId="0" fontId="5" fillId="0" borderId="0" xfId="0" applyFont="1"/>
    <xf numFmtId="0" fontId="5" fillId="0" borderId="2" xfId="0" applyFont="1" applyBorder="1"/>
    <xf numFmtId="0" fontId="5" fillId="0" borderId="4" xfId="0" applyFont="1" applyBorder="1"/>
    <xf numFmtId="0" fontId="12" fillId="0" borderId="1" xfId="0" applyFont="1" applyBorder="1"/>
    <xf numFmtId="0" fontId="12" fillId="0" borderId="7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2" fontId="8" fillId="0" borderId="1" xfId="0" applyNumberFormat="1" applyFont="1" applyBorder="1"/>
    <xf numFmtId="0" fontId="8" fillId="0" borderId="14" xfId="0" applyFont="1" applyBorder="1"/>
    <xf numFmtId="0" fontId="0" fillId="0" borderId="4" xfId="0" applyBorder="1"/>
    <xf numFmtId="0" fontId="16" fillId="0" borderId="0" xfId="0" applyFont="1"/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7" fillId="0" borderId="0" xfId="0" applyFont="1"/>
    <xf numFmtId="2" fontId="12" fillId="0" borderId="1" xfId="0" applyNumberFormat="1" applyFont="1" applyBorder="1"/>
    <xf numFmtId="0" fontId="18" fillId="0" borderId="1" xfId="0" applyFont="1" applyBorder="1"/>
    <xf numFmtId="164" fontId="18" fillId="0" borderId="1" xfId="0" applyNumberFormat="1" applyFont="1" applyBorder="1"/>
    <xf numFmtId="0" fontId="18" fillId="0" borderId="0" xfId="0" applyFont="1"/>
    <xf numFmtId="0" fontId="12" fillId="0" borderId="0" xfId="0" applyFont="1"/>
    <xf numFmtId="1" fontId="12" fillId="0" borderId="0" xfId="0" applyNumberFormat="1" applyFont="1"/>
    <xf numFmtId="164" fontId="12" fillId="0" borderId="0" xfId="0" applyNumberFormat="1" applyFont="1"/>
    <xf numFmtId="0" fontId="13" fillId="0" borderId="1" xfId="0" applyFont="1" applyBorder="1"/>
    <xf numFmtId="1" fontId="13" fillId="0" borderId="1" xfId="0" applyNumberFormat="1" applyFont="1" applyBorder="1"/>
    <xf numFmtId="164" fontId="13" fillId="0" borderId="1" xfId="0" applyNumberFormat="1" applyFont="1" applyBorder="1"/>
    <xf numFmtId="0" fontId="13" fillId="0" borderId="0" xfId="0" applyFont="1"/>
    <xf numFmtId="1" fontId="12" fillId="0" borderId="1" xfId="0" applyNumberFormat="1" applyFont="1" applyBorder="1"/>
    <xf numFmtId="164" fontId="12" fillId="0" borderId="1" xfId="0" applyNumberFormat="1" applyFont="1" applyBorder="1"/>
    <xf numFmtId="0" fontId="19" fillId="0" borderId="0" xfId="0" applyFont="1"/>
    <xf numFmtId="164" fontId="13" fillId="0" borderId="2" xfId="0" applyNumberFormat="1" applyFont="1" applyBorder="1"/>
    <xf numFmtId="1" fontId="13" fillId="0" borderId="2" xfId="0" applyNumberFormat="1" applyFont="1" applyBorder="1"/>
    <xf numFmtId="164" fontId="13" fillId="0" borderId="0" xfId="0" applyNumberFormat="1" applyFont="1"/>
    <xf numFmtId="1" fontId="18" fillId="0" borderId="0" xfId="0" applyNumberFormat="1" applyFont="1"/>
    <xf numFmtId="0" fontId="13" fillId="0" borderId="1" xfId="0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9" fillId="0" borderId="1" xfId="0" applyFont="1" applyBorder="1"/>
    <xf numFmtId="0" fontId="1" fillId="0" borderId="6" xfId="0" applyFont="1" applyBorder="1"/>
    <xf numFmtId="0" fontId="2" fillId="0" borderId="1" xfId="0" applyFont="1" applyBorder="1"/>
    <xf numFmtId="0" fontId="2" fillId="0" borderId="7" xfId="0" applyFont="1" applyBorder="1"/>
    <xf numFmtId="0" fontId="1" fillId="0" borderId="5" xfId="0" applyFont="1" applyBorder="1"/>
    <xf numFmtId="0" fontId="1" fillId="0" borderId="3" xfId="0" applyFont="1" applyBorder="1"/>
    <xf numFmtId="164" fontId="1" fillId="0" borderId="7" xfId="0" applyNumberFormat="1" applyFont="1" applyBorder="1"/>
    <xf numFmtId="0" fontId="1" fillId="0" borderId="0" xfId="0" applyFont="1"/>
    <xf numFmtId="0" fontId="15" fillId="0" borderId="4" xfId="0" applyFont="1" applyBorder="1" applyAlignment="1">
      <alignment horizontal="center"/>
    </xf>
    <xf numFmtId="0" fontId="0" fillId="0" borderId="1" xfId="0" applyBorder="1"/>
    <xf numFmtId="0" fontId="18" fillId="0" borderId="6" xfId="0" applyFont="1" applyBorder="1"/>
    <xf numFmtId="0" fontId="19" fillId="0" borderId="6" xfId="0" applyFont="1" applyBorder="1"/>
    <xf numFmtId="0" fontId="18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right"/>
    </xf>
    <xf numFmtId="0" fontId="18" fillId="0" borderId="1" xfId="0" applyFont="1" applyBorder="1" applyAlignment="1">
      <alignment horizontal="center"/>
    </xf>
    <xf numFmtId="0" fontId="18" fillId="0" borderId="5" xfId="0" applyFont="1" applyBorder="1"/>
    <xf numFmtId="0" fontId="19" fillId="0" borderId="5" xfId="0" applyFont="1" applyBorder="1"/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/>
    <xf numFmtId="0" fontId="19" fillId="0" borderId="3" xfId="0" applyFont="1" applyBorder="1"/>
    <xf numFmtId="0" fontId="18" fillId="0" borderId="3" xfId="0" applyFont="1" applyBorder="1" applyAlignment="1">
      <alignment horizontal="center" vertical="center"/>
    </xf>
    <xf numFmtId="164" fontId="9" fillId="0" borderId="0" xfId="0" applyNumberFormat="1" applyFont="1"/>
    <xf numFmtId="0" fontId="7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1" fontId="7" fillId="0" borderId="0" xfId="0" applyNumberFormat="1" applyFont="1"/>
    <xf numFmtId="1" fontId="8" fillId="0" borderId="0" xfId="0" applyNumberFormat="1" applyFont="1"/>
    <xf numFmtId="0" fontId="7" fillId="0" borderId="1" xfId="0" applyFont="1" applyBorder="1" applyAlignment="1">
      <alignment vertical="center"/>
    </xf>
    <xf numFmtId="1" fontId="8" fillId="0" borderId="15" xfId="0" applyNumberFormat="1" applyFont="1" applyBorder="1"/>
    <xf numFmtId="164" fontId="22" fillId="0" borderId="7" xfId="0" applyNumberFormat="1" applyFont="1" applyBorder="1" applyAlignment="1">
      <alignment horizontal="center"/>
    </xf>
    <xf numFmtId="164" fontId="22" fillId="0" borderId="14" xfId="0" applyNumberFormat="1" applyFont="1" applyBorder="1" applyAlignment="1">
      <alignment horizontal="center"/>
    </xf>
    <xf numFmtId="164" fontId="22" fillId="0" borderId="15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U106"/>
  <sheetViews>
    <sheetView topLeftCell="A16" workbookViewId="0">
      <selection activeCell="I59" sqref="I59"/>
    </sheetView>
  </sheetViews>
  <sheetFormatPr defaultRowHeight="12.75" x14ac:dyDescent="0.2"/>
  <cols>
    <col min="1" max="1" width="3.7109375" style="83" customWidth="1"/>
    <col min="2" max="2" width="12.42578125" style="83" customWidth="1"/>
    <col min="3" max="3" width="5.28515625" style="84" customWidth="1"/>
    <col min="4" max="4" width="10" style="85" customWidth="1"/>
    <col min="5" max="5" width="7.5703125" style="85" customWidth="1"/>
    <col min="6" max="6" width="8.5703125" style="85" customWidth="1"/>
    <col min="7" max="7" width="8.7109375" style="85" customWidth="1"/>
    <col min="8" max="8" width="13.42578125" style="85" customWidth="1"/>
    <col min="9" max="9" width="12.7109375" style="85" customWidth="1"/>
    <col min="10" max="10" width="11.5703125" style="85" customWidth="1"/>
    <col min="11" max="11" width="7.85546875" style="85" customWidth="1"/>
    <col min="12" max="12" width="6.85546875" style="85" customWidth="1"/>
    <col min="13" max="13" width="7.140625" style="85" customWidth="1"/>
    <col min="14" max="14" width="9.140625" style="85" customWidth="1"/>
    <col min="15" max="15" width="10.28515625" style="85" customWidth="1"/>
    <col min="16" max="16" width="8.42578125" style="85" customWidth="1"/>
    <col min="17" max="17" width="10.85546875" style="85" customWidth="1"/>
    <col min="18" max="18" width="14" style="83" customWidth="1"/>
    <col min="19" max="16384" width="9.140625" style="83"/>
  </cols>
  <sheetData>
    <row r="3" spans="1:18" ht="20.25" x14ac:dyDescent="0.3">
      <c r="A3" s="133" t="s">
        <v>70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/>
    </row>
    <row r="4" spans="1:18" s="100" customFormat="1" ht="15" customHeight="1" x14ac:dyDescent="0.2">
      <c r="A4" s="97" t="s">
        <v>0</v>
      </c>
      <c r="B4" s="97" t="s">
        <v>1</v>
      </c>
      <c r="C4" s="98" t="s">
        <v>71</v>
      </c>
      <c r="D4" s="99" t="s">
        <v>55</v>
      </c>
      <c r="E4" s="99" t="s">
        <v>3</v>
      </c>
      <c r="F4" s="99" t="s">
        <v>4</v>
      </c>
      <c r="G4" s="99" t="s">
        <v>17</v>
      </c>
      <c r="H4" s="99" t="s">
        <v>18</v>
      </c>
      <c r="I4" s="99" t="s">
        <v>7</v>
      </c>
      <c r="J4" s="99" t="s">
        <v>8</v>
      </c>
      <c r="K4" s="99" t="s">
        <v>9</v>
      </c>
      <c r="L4" s="99" t="s">
        <v>11</v>
      </c>
      <c r="M4" s="99" t="s">
        <v>10</v>
      </c>
      <c r="N4" s="99" t="s">
        <v>14</v>
      </c>
      <c r="O4" s="99"/>
      <c r="P4" s="99"/>
      <c r="Q4" s="136" t="s">
        <v>265</v>
      </c>
      <c r="R4" s="137"/>
    </row>
    <row r="5" spans="1:18" s="104" customFormat="1" x14ac:dyDescent="0.2">
      <c r="A5" s="101"/>
      <c r="B5" s="101"/>
      <c r="C5" s="102"/>
      <c r="D5" s="103"/>
      <c r="E5" s="103"/>
      <c r="F5" s="103"/>
      <c r="G5" s="103"/>
      <c r="H5" s="103"/>
      <c r="I5" s="103">
        <v>0.39400000000000002</v>
      </c>
      <c r="J5" s="103">
        <v>0.61599999999999999</v>
      </c>
      <c r="K5" s="103">
        <v>0.88700000000000001</v>
      </c>
      <c r="L5" s="103">
        <v>1.208</v>
      </c>
      <c r="M5" s="103">
        <v>1.5780000000000001</v>
      </c>
      <c r="N5" s="103">
        <v>1.99</v>
      </c>
      <c r="O5" s="103" t="s">
        <v>34</v>
      </c>
      <c r="P5" s="103" t="s">
        <v>36</v>
      </c>
      <c r="Q5" s="103" t="s">
        <v>35</v>
      </c>
      <c r="R5" s="101" t="s">
        <v>266</v>
      </c>
    </row>
    <row r="6" spans="1:18" s="89" customFormat="1" x14ac:dyDescent="0.2">
      <c r="A6" s="86">
        <v>1</v>
      </c>
      <c r="B6" s="86" t="s">
        <v>5</v>
      </c>
      <c r="C6" s="87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6"/>
    </row>
    <row r="7" spans="1:18" s="82" customFormat="1" x14ac:dyDescent="0.2">
      <c r="A7" s="68"/>
      <c r="B7" s="68" t="s">
        <v>32</v>
      </c>
      <c r="C7" s="90">
        <f>Q10+Q11+Q12+Q13+Q14+Q16+Q18</f>
        <v>178</v>
      </c>
      <c r="D7" s="91"/>
      <c r="E7" s="91"/>
      <c r="F7" s="91">
        <f>0.5*((0.35-0.065*2)^2*3.14/4)*C7</f>
        <v>3.3814659999999992</v>
      </c>
      <c r="G7" s="91"/>
      <c r="H7" s="91"/>
      <c r="I7" s="91">
        <f>C7*(((0.35-0.13)/2)^2*3.14+0.6)*I5*4</f>
        <v>178.97518083199998</v>
      </c>
      <c r="J7" s="91"/>
      <c r="K7" s="91"/>
      <c r="L7" s="91">
        <f>(0.5+35*0.014)*L5*C7*4</f>
        <v>851.4950399999999</v>
      </c>
      <c r="M7" s="91"/>
      <c r="N7" s="91">
        <f>0.35*C7*N5*2</f>
        <v>247.95399999999998</v>
      </c>
      <c r="O7" s="91"/>
      <c r="P7" s="91"/>
      <c r="Q7" s="91"/>
      <c r="R7" s="22">
        <f>C7*(3.14*((0.35-0.13)/2)^2)*0.0015*7850</f>
        <v>79.633524299999976</v>
      </c>
    </row>
    <row r="8" spans="1:18" s="82" customFormat="1" x14ac:dyDescent="0.2">
      <c r="A8" s="68"/>
      <c r="B8" s="68" t="s">
        <v>33</v>
      </c>
      <c r="C8" s="90">
        <f>Q15+Q17+Q19</f>
        <v>293</v>
      </c>
      <c r="D8" s="91"/>
      <c r="E8" s="91"/>
      <c r="F8" s="91">
        <f>0.9*((0.5-0.09*2)^2*3.14/4)*C8</f>
        <v>21.197260800000002</v>
      </c>
      <c r="G8" s="91"/>
      <c r="H8" s="91"/>
      <c r="I8" s="91">
        <f>C8*(((0.5-0.18)/2)^2*3.14+0.6)*I5*7</f>
        <v>549.81422809599997</v>
      </c>
      <c r="J8" s="91"/>
      <c r="K8" s="91"/>
      <c r="L8" s="91"/>
      <c r="M8" s="91">
        <f>(0.9+35*0.016)*M5*C8*6</f>
        <v>4050.2210399999999</v>
      </c>
      <c r="N8" s="91">
        <f>2*0.5*C8*N5</f>
        <v>583.07000000000005</v>
      </c>
      <c r="O8" s="91"/>
      <c r="P8" s="91"/>
      <c r="Q8" s="91"/>
      <c r="R8" s="22">
        <f>C8*(3.14*((0.5-0.18)/2)^2)*0.0015*7850</f>
        <v>277.33082880000001</v>
      </c>
    </row>
    <row r="9" spans="1:18" s="89" customFormat="1" x14ac:dyDescent="0.2">
      <c r="A9" s="86">
        <v>2</v>
      </c>
      <c r="B9" s="86" t="s">
        <v>2</v>
      </c>
      <c r="C9" s="87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6"/>
    </row>
    <row r="10" spans="1:18" s="82" customFormat="1" x14ac:dyDescent="0.2">
      <c r="A10" s="68"/>
      <c r="B10" s="68" t="s">
        <v>25</v>
      </c>
      <c r="C10" s="90">
        <v>39</v>
      </c>
      <c r="D10" s="91">
        <f>C10*0.9*(0.8*0.8+1.7*1.7)/2</f>
        <v>61.951499999999996</v>
      </c>
      <c r="E10" s="91">
        <f>C10*0.8*0.8*0.1</f>
        <v>2.4960000000000004</v>
      </c>
      <c r="F10" s="91">
        <f>C10*(0.6*0.6*0.8-(3.14*(0.35^2)*0.1/4))</f>
        <v>10.856966249999999</v>
      </c>
      <c r="G10" s="91">
        <f>0.8*0.1*4*C10</f>
        <v>12.480000000000002</v>
      </c>
      <c r="H10" s="91">
        <f>C10*0.6*4*0.8</f>
        <v>74.88</v>
      </c>
      <c r="I10" s="91"/>
      <c r="J10" s="91">
        <f>2.16*C10*1*J5</f>
        <v>51.891840000000002</v>
      </c>
      <c r="K10" s="91">
        <f>C10*8*1.7*K5</f>
        <v>470.46479999999997</v>
      </c>
      <c r="L10" s="91"/>
      <c r="M10" s="91"/>
      <c r="N10" s="91">
        <f>C10*8*N5*0.9</f>
        <v>558.79200000000003</v>
      </c>
      <c r="O10" s="91" t="s">
        <v>32</v>
      </c>
      <c r="P10" s="91">
        <v>1</v>
      </c>
      <c r="Q10" s="91">
        <f t="shared" ref="Q10:Q19" si="0">C10*P10</f>
        <v>39</v>
      </c>
      <c r="R10" s="80"/>
    </row>
    <row r="11" spans="1:18" s="82" customFormat="1" x14ac:dyDescent="0.2">
      <c r="A11" s="68"/>
      <c r="B11" s="68" t="s">
        <v>24</v>
      </c>
      <c r="C11" s="90">
        <v>2</v>
      </c>
      <c r="D11" s="91">
        <f>C11*0.9*(1.2*2.2+3.1*2.1)/2</f>
        <v>8.2350000000000012</v>
      </c>
      <c r="E11" s="91">
        <f>1.8*0.8*0.1*C11</f>
        <v>0.28800000000000003</v>
      </c>
      <c r="F11" s="91">
        <f>C11*(1.6*0.6*0.8-(2*3.14*(0.35^2)*0.1/4))</f>
        <v>1.4975350000000001</v>
      </c>
      <c r="G11" s="91">
        <f>(1.8+0.8)*2*0.1*C11</f>
        <v>1.04</v>
      </c>
      <c r="H11" s="91">
        <f>C11*(1.6+0.6)*2*0.8</f>
        <v>7.0400000000000009</v>
      </c>
      <c r="I11" s="91"/>
      <c r="J11" s="91">
        <f>J5*C11*4.16</f>
        <v>5.1251199999999999</v>
      </c>
      <c r="K11" s="91">
        <f>C11*K5*(2.7*4+0.9*4+1.7*9)</f>
        <v>52.687800000000003</v>
      </c>
      <c r="L11" s="91"/>
      <c r="M11" s="91"/>
      <c r="N11" s="91">
        <f>9*C11*1.9*N5</f>
        <v>68.057999999999993</v>
      </c>
      <c r="O11" s="91" t="s">
        <v>32</v>
      </c>
      <c r="P11" s="91">
        <v>2</v>
      </c>
      <c r="Q11" s="91">
        <f t="shared" si="0"/>
        <v>4</v>
      </c>
      <c r="R11" s="80"/>
    </row>
    <row r="12" spans="1:18" s="82" customFormat="1" x14ac:dyDescent="0.2">
      <c r="A12" s="68"/>
      <c r="B12" s="68" t="s">
        <v>23</v>
      </c>
      <c r="C12" s="90">
        <v>1</v>
      </c>
      <c r="D12" s="91">
        <f>C12*0.9*(1.2*2.2+3.1*2.1)/2</f>
        <v>4.1175000000000006</v>
      </c>
      <c r="E12" s="91">
        <f>1.825*0.8*0.1*C12</f>
        <v>0.14599999999999999</v>
      </c>
      <c r="F12" s="91">
        <f>C12*(1.625*0.6*0.8-(2*3.14*(0.35^2)*0.1/4))</f>
        <v>0.76076750000000004</v>
      </c>
      <c r="G12" s="91">
        <f>(1.825+0.8)*2*0.1*C12</f>
        <v>0.52500000000000002</v>
      </c>
      <c r="H12" s="91">
        <f>C12*(1.625+0.6)*2*0.8</f>
        <v>3.5600000000000005</v>
      </c>
      <c r="I12" s="91"/>
      <c r="J12" s="91">
        <f>J11</f>
        <v>5.1251199999999999</v>
      </c>
      <c r="K12" s="91">
        <f>K11</f>
        <v>52.687800000000003</v>
      </c>
      <c r="L12" s="91"/>
      <c r="M12" s="91"/>
      <c r="N12" s="91">
        <f>N11</f>
        <v>68.057999999999993</v>
      </c>
      <c r="O12" s="91" t="s">
        <v>32</v>
      </c>
      <c r="P12" s="91">
        <v>2</v>
      </c>
      <c r="Q12" s="91">
        <f t="shared" si="0"/>
        <v>2</v>
      </c>
      <c r="R12" s="80"/>
    </row>
    <row r="13" spans="1:18" s="82" customFormat="1" x14ac:dyDescent="0.2">
      <c r="A13" s="68"/>
      <c r="B13" s="68" t="s">
        <v>26</v>
      </c>
      <c r="C13" s="90">
        <v>1</v>
      </c>
      <c r="D13" s="91">
        <f>C13*0.9*(1.2*3.7+4.6*2.1)/2</f>
        <v>6.3450000000000006</v>
      </c>
      <c r="E13" s="91">
        <f>3.5*0.8*0.1*C13</f>
        <v>0.28000000000000003</v>
      </c>
      <c r="F13" s="91">
        <f>C13*(3.3*0.6*0.8-(2*3.14*(0.35^2)*0.1/4))</f>
        <v>1.5647674999999999</v>
      </c>
      <c r="G13" s="91">
        <f>(3.5+0.8)*2*0.1*C13</f>
        <v>0.86</v>
      </c>
      <c r="H13" s="91">
        <f>C13*(3.3+0.6)*2*0.8</f>
        <v>6.24</v>
      </c>
      <c r="I13" s="91"/>
      <c r="J13" s="91">
        <f>J12</f>
        <v>5.1251199999999999</v>
      </c>
      <c r="K13" s="91">
        <f>K12</f>
        <v>52.687800000000003</v>
      </c>
      <c r="L13" s="91"/>
      <c r="M13" s="91"/>
      <c r="N13" s="91">
        <f>N12</f>
        <v>68.057999999999993</v>
      </c>
      <c r="O13" s="91" t="s">
        <v>32</v>
      </c>
      <c r="P13" s="91">
        <v>2</v>
      </c>
      <c r="Q13" s="91">
        <f t="shared" si="0"/>
        <v>2</v>
      </c>
      <c r="R13" s="80"/>
    </row>
    <row r="14" spans="1:18" s="82" customFormat="1" x14ac:dyDescent="0.2">
      <c r="A14" s="68"/>
      <c r="B14" s="68" t="s">
        <v>15</v>
      </c>
      <c r="C14" s="90">
        <v>6</v>
      </c>
      <c r="D14" s="91">
        <f>C14*0.9*(2.2*2.2+3.1*3.1)/2</f>
        <v>39.015000000000008</v>
      </c>
      <c r="E14" s="91">
        <f>C14*(1.8*0.725*0.1+((1.7-0.725)*(1.8+0.8)/2)*0.1)</f>
        <v>1.5434999999999999</v>
      </c>
      <c r="F14" s="91">
        <f>C14*(0.8*0.625*1.6+(0.8*0.875*(1.6+0.75)/2)-(0.1*3*3.14*(0.35^2)/4))</f>
        <v>9.5619075000000002</v>
      </c>
      <c r="G14" s="91">
        <f>C14*((1.8+0.725)*2*0.1+((1.7-0.725)*2+(1.8+0.8))*0.1)</f>
        <v>5.76</v>
      </c>
      <c r="H14" s="91">
        <f>C14*(0.8*(0.625+1.6)*2+(0.8*(0.875*2+(1.6+0.75))))</f>
        <v>41.04</v>
      </c>
      <c r="I14" s="91"/>
      <c r="J14" s="91">
        <f>1*C14*J5*5.96</f>
        <v>22.02816</v>
      </c>
      <c r="K14" s="91">
        <f>C14*8*2.7*K5+9*C14*K5*2.6</f>
        <v>239.49000000000004</v>
      </c>
      <c r="L14" s="91"/>
      <c r="M14" s="91"/>
      <c r="N14" s="91">
        <f>11*C14*N5*1.8+10*C14*1.9*N5</f>
        <v>463.27199999999999</v>
      </c>
      <c r="O14" s="91" t="s">
        <v>32</v>
      </c>
      <c r="P14" s="91">
        <v>3</v>
      </c>
      <c r="Q14" s="91">
        <f t="shared" si="0"/>
        <v>18</v>
      </c>
      <c r="R14" s="80"/>
    </row>
    <row r="15" spans="1:18" s="82" customFormat="1" x14ac:dyDescent="0.2">
      <c r="A15" s="68"/>
      <c r="B15" s="68" t="s">
        <v>16</v>
      </c>
      <c r="C15" s="90">
        <v>14</v>
      </c>
      <c r="D15" s="91">
        <f>C15*1.1*(2.7*2.9+3.8*4)/2</f>
        <v>177.33100000000005</v>
      </c>
      <c r="E15" s="91">
        <f>0.1*(1*2.5+1.3*1.7)*C15</f>
        <v>6.5940000000000003</v>
      </c>
      <c r="F15" s="91">
        <f>C15*(2.3*0.95*1+(2.1-0.95)*1.6*1-3*0.1*3.14*((0.5/2)^2))</f>
        <v>55.525750000000002</v>
      </c>
      <c r="G15" s="91">
        <f>0.1*(1*2+2.5+(SQRT(1.3^0.7^2))*2+1)*C15</f>
        <v>11.064483307620266</v>
      </c>
      <c r="H15" s="91">
        <f>1*(1*2+2.5+(SQRT(1.3^0.7^2))*2+1)*C15</f>
        <v>110.64483307620267</v>
      </c>
      <c r="I15" s="91"/>
      <c r="J15" s="91">
        <f>C15*J5*8.56*2</f>
        <v>147.64288000000002</v>
      </c>
      <c r="K15" s="91">
        <f>K5*(12*3.8*C15+C15*3.6*12)</f>
        <v>1102.7183999999997</v>
      </c>
      <c r="L15" s="91"/>
      <c r="M15" s="91"/>
      <c r="N15" s="91">
        <f>16*C15*2.4*N5+N5*16*2.6</f>
        <v>1152.6080000000002</v>
      </c>
      <c r="O15" s="91" t="s">
        <v>33</v>
      </c>
      <c r="P15" s="91">
        <v>3</v>
      </c>
      <c r="Q15" s="91">
        <f t="shared" si="0"/>
        <v>42</v>
      </c>
      <c r="R15" s="80"/>
    </row>
    <row r="16" spans="1:18" s="82" customFormat="1" x14ac:dyDescent="0.2">
      <c r="A16" s="68"/>
      <c r="B16" s="68" t="s">
        <v>19</v>
      </c>
      <c r="C16" s="90">
        <v>12</v>
      </c>
      <c r="D16" s="91">
        <f>C16*0.9*(2.2*2.2+3.1*3.1)/2</f>
        <v>78.030000000000015</v>
      </c>
      <c r="E16" s="91">
        <f>1.8*1.8*0.1*C16</f>
        <v>3.8880000000000008</v>
      </c>
      <c r="F16" s="91">
        <f>C16*(1.6*1.6*0.8-3.14*(0.35/2)^2*4*0.1)</f>
        <v>24.114420000000006</v>
      </c>
      <c r="G16" s="91">
        <f>1.8*4*0.1*C16</f>
        <v>8.64</v>
      </c>
      <c r="H16" s="91">
        <f>1.6*4*0.8*C16</f>
        <v>61.440000000000012</v>
      </c>
      <c r="I16" s="91"/>
      <c r="J16" s="91">
        <f>1*C16*6.16*J5</f>
        <v>45.53472</v>
      </c>
      <c r="K16" s="91">
        <f>18*C16*2.7*K5</f>
        <v>517.29840000000002</v>
      </c>
      <c r="L16" s="91"/>
      <c r="M16" s="91"/>
      <c r="N16" s="91">
        <f>C16*22*1.9*N5</f>
        <v>998.18399999999997</v>
      </c>
      <c r="O16" s="91" t="s">
        <v>32</v>
      </c>
      <c r="P16" s="91">
        <v>4</v>
      </c>
      <c r="Q16" s="91">
        <f t="shared" si="0"/>
        <v>48</v>
      </c>
      <c r="R16" s="80"/>
    </row>
    <row r="17" spans="1:21" s="82" customFormat="1" x14ac:dyDescent="0.2">
      <c r="A17" s="68"/>
      <c r="B17" s="68" t="s">
        <v>20</v>
      </c>
      <c r="C17" s="90">
        <v>54</v>
      </c>
      <c r="D17" s="91">
        <f>C17*1.3*(2.9*2.9+4.2*4.2)/2</f>
        <v>914.35500000000002</v>
      </c>
      <c r="E17" s="91">
        <f>2.5*2.5*0.1*C17</f>
        <v>33.75</v>
      </c>
      <c r="F17" s="91">
        <f>C17*(2.3*2.3*1.2-(3.14*4*(0.25^2)*0.1))</f>
        <v>338.55299999999994</v>
      </c>
      <c r="G17" s="91">
        <f>2.5*4*0.1*C17</f>
        <v>54</v>
      </c>
      <c r="H17" s="91">
        <f>1.2*4*2.3*C17</f>
        <v>596.16</v>
      </c>
      <c r="I17" s="91"/>
      <c r="J17" s="91">
        <f>C17*2*8.96*J5</f>
        <v>596.09088000000008</v>
      </c>
      <c r="K17" s="91">
        <f>13*2*C17*4.2*K5</f>
        <v>5230.4616000000005</v>
      </c>
      <c r="L17" s="91"/>
      <c r="M17" s="91"/>
      <c r="N17" s="91">
        <f>C17*24*2.6*2*N5</f>
        <v>13411.008</v>
      </c>
      <c r="O17" s="91" t="s">
        <v>33</v>
      </c>
      <c r="P17" s="91">
        <v>4</v>
      </c>
      <c r="Q17" s="91">
        <f t="shared" si="0"/>
        <v>216</v>
      </c>
      <c r="R17" s="80"/>
    </row>
    <row r="18" spans="1:21" s="82" customFormat="1" x14ac:dyDescent="0.2">
      <c r="A18" s="68"/>
      <c r="B18" s="68" t="s">
        <v>21</v>
      </c>
      <c r="C18" s="90">
        <v>13</v>
      </c>
      <c r="D18" s="91">
        <f>C18*1.1*(2.3*2.8+3.4*3.9)/2</f>
        <v>140.85499999999999</v>
      </c>
      <c r="E18" s="91">
        <f>2.6*0.1*1.9*C18</f>
        <v>6.4219999999999997</v>
      </c>
      <c r="F18" s="91">
        <f>C18*(2.4*1.7*1-3.13*5*(0.35/2)^2*0.1)</f>
        <v>52.416934374999997</v>
      </c>
      <c r="G18" s="91">
        <f>C18*(2.6*2*0.1+1.9*2*0.1)</f>
        <v>11.700000000000001</v>
      </c>
      <c r="H18" s="91">
        <f>C18*(2.4*2*1+1.7*2*1)</f>
        <v>106.6</v>
      </c>
      <c r="I18" s="91"/>
      <c r="J18" s="91">
        <f>2*C18*7.96*J5</f>
        <v>127.48736000000001</v>
      </c>
      <c r="K18" s="91">
        <f>C18*K5*(18*3.2+10*3.9)</f>
        <v>1113.8946000000001</v>
      </c>
      <c r="L18" s="91"/>
      <c r="M18" s="91"/>
      <c r="N18" s="91">
        <f>C18*N5*(18*2.7+17*2)</f>
        <v>2136.8620000000001</v>
      </c>
      <c r="O18" s="91" t="s">
        <v>32</v>
      </c>
      <c r="P18" s="91">
        <v>5</v>
      </c>
      <c r="Q18" s="91">
        <f t="shared" si="0"/>
        <v>65</v>
      </c>
      <c r="R18" s="80"/>
    </row>
    <row r="19" spans="1:21" s="82" customFormat="1" x14ac:dyDescent="0.2">
      <c r="A19" s="68"/>
      <c r="B19" s="68" t="s">
        <v>22</v>
      </c>
      <c r="C19" s="90">
        <v>7</v>
      </c>
      <c r="D19" s="91">
        <f>C19*1.3*(3.6*3.6+4.9*4.9)/2</f>
        <v>168.21350000000001</v>
      </c>
      <c r="E19" s="91">
        <f>3.2*3.2*0.1*C19</f>
        <v>7.1680000000000019</v>
      </c>
      <c r="F19" s="91">
        <f>C19*(3*3*1.2-5*3.14*(0.25^2)*0.1)</f>
        <v>74.913124999999994</v>
      </c>
      <c r="G19" s="91">
        <f>3.2*4*0.1*C19</f>
        <v>8.9600000000000009</v>
      </c>
      <c r="H19" s="91">
        <f>C19*1.2*3*4</f>
        <v>100.80000000000001</v>
      </c>
      <c r="I19" s="91"/>
      <c r="J19" s="91">
        <f>2*C19*2.21*J5</f>
        <v>19.05904</v>
      </c>
      <c r="K19" s="91">
        <f>32*C19*4.9*K5</f>
        <v>973.57120000000009</v>
      </c>
      <c r="L19" s="91"/>
      <c r="M19" s="91"/>
      <c r="N19" s="91">
        <f>60*C19*3.3*N5</f>
        <v>2758.14</v>
      </c>
      <c r="O19" s="91" t="s">
        <v>33</v>
      </c>
      <c r="P19" s="91">
        <v>5</v>
      </c>
      <c r="Q19" s="91">
        <f t="shared" si="0"/>
        <v>35</v>
      </c>
      <c r="R19" s="80"/>
    </row>
    <row r="20" spans="1:21" s="92" customFormat="1" x14ac:dyDescent="0.2">
      <c r="A20" s="86">
        <v>3</v>
      </c>
      <c r="B20" s="86" t="s">
        <v>27</v>
      </c>
      <c r="C20" s="90">
        <v>2</v>
      </c>
      <c r="D20" s="91">
        <f>C20*1.2*(3.9*3+4.2*5.1)/2</f>
        <v>39.743999999999993</v>
      </c>
      <c r="E20" s="91">
        <f>(3.7*2.8*0.1-3*0.4*0.4*0.1-0.85*0.1*1.15)*C20</f>
        <v>1.7805</v>
      </c>
      <c r="F20" s="91"/>
      <c r="G20" s="91">
        <f>(2.7*2*0.1+1.8*0.1*2)*E20</f>
        <v>1.6024500000000002</v>
      </c>
      <c r="H20" s="91"/>
      <c r="I20" s="91"/>
      <c r="J20" s="91"/>
      <c r="K20" s="91"/>
      <c r="L20" s="91"/>
      <c r="M20" s="91"/>
      <c r="N20" s="91"/>
      <c r="O20" s="88"/>
      <c r="P20" s="88"/>
      <c r="Q20" s="88"/>
      <c r="R20" s="105"/>
    </row>
    <row r="21" spans="1:21" s="92" customFormat="1" x14ac:dyDescent="0.2">
      <c r="A21" s="86"/>
      <c r="B21" s="86" t="s">
        <v>30</v>
      </c>
      <c r="C21" s="90"/>
      <c r="D21" s="91"/>
      <c r="E21" s="91"/>
      <c r="F21" s="91">
        <f>(3.5*2.6*0.2-0.4*0.4*0.2*3-0.85*1.15*0.2)*C20</f>
        <v>3.0569999999999999</v>
      </c>
      <c r="G21" s="91"/>
      <c r="H21" s="91">
        <f>(2.7*2*0.2+1.8*0.2*2)*C20</f>
        <v>3.6000000000000005</v>
      </c>
      <c r="I21" s="91"/>
      <c r="J21" s="91">
        <f>C20*J5*(34*3.1+22*4+4*0.85)</f>
        <v>242.45760000000001</v>
      </c>
      <c r="K21" s="91"/>
      <c r="L21" s="91"/>
      <c r="M21" s="91"/>
      <c r="N21" s="91"/>
      <c r="O21" s="88"/>
      <c r="P21" s="88"/>
      <c r="Q21" s="88"/>
      <c r="R21" s="105"/>
    </row>
    <row r="22" spans="1:21" s="92" customFormat="1" x14ac:dyDescent="0.2">
      <c r="A22" s="86"/>
      <c r="B22" s="86" t="s">
        <v>31</v>
      </c>
      <c r="C22" s="90"/>
      <c r="D22" s="91"/>
      <c r="E22" s="91"/>
      <c r="F22" s="91">
        <f>C20*(2.2*0.2*1.5*2+3.5*0.2*1.5*2-0.2*0.3*1*1.5-0.2*0.25*(3.5*2+4.4))</f>
        <v>5.5200000000000014</v>
      </c>
      <c r="G22" s="91"/>
      <c r="H22" s="91">
        <f>1.55*C20*2*(3.5+3.1+2.6+2.2)</f>
        <v>70.679999999999993</v>
      </c>
      <c r="I22" s="91">
        <f>C20*I5*(24*2.8+24*3.6+12*0.76+28*0.31)</f>
        <v>135.06320000000002</v>
      </c>
      <c r="J22" s="91">
        <f>J5*C20*(1.95*48+64*1.95)</f>
        <v>269.06879999999995</v>
      </c>
      <c r="K22" s="91"/>
      <c r="L22" s="91"/>
      <c r="M22" s="91"/>
      <c r="N22" s="91">
        <f>8*N5*C20*1.95</f>
        <v>62.088000000000001</v>
      </c>
      <c r="O22" s="88"/>
      <c r="P22" s="88"/>
      <c r="Q22" s="88"/>
      <c r="R22" s="105"/>
    </row>
    <row r="23" spans="1:21" s="92" customFormat="1" x14ac:dyDescent="0.2">
      <c r="A23" s="86">
        <v>4</v>
      </c>
      <c r="B23" s="86" t="s">
        <v>28</v>
      </c>
      <c r="C23" s="90">
        <v>1</v>
      </c>
      <c r="D23" s="91">
        <f>C23*1.2*(3.9*3+4.2*5.1)/2</f>
        <v>19.871999999999996</v>
      </c>
      <c r="E23" s="91">
        <f>(3.7*2.8*0.1-4*0.4*0.4*0.1)*C23</f>
        <v>0.97199999999999998</v>
      </c>
      <c r="F23" s="91"/>
      <c r="G23" s="91">
        <f>(2.7*2*0.1+1.8*0.1*2)*E23</f>
        <v>0.87480000000000013</v>
      </c>
      <c r="H23" s="91"/>
      <c r="I23" s="91"/>
      <c r="J23" s="91"/>
      <c r="K23" s="91"/>
      <c r="L23" s="91"/>
      <c r="M23" s="91"/>
      <c r="N23" s="91"/>
      <c r="O23" s="88"/>
      <c r="P23" s="88"/>
      <c r="Q23" s="88"/>
      <c r="R23" s="105"/>
    </row>
    <row r="24" spans="1:21" s="92" customFormat="1" x14ac:dyDescent="0.2">
      <c r="A24" s="86"/>
      <c r="B24" s="86" t="s">
        <v>30</v>
      </c>
      <c r="C24" s="90"/>
      <c r="D24" s="91"/>
      <c r="E24" s="91"/>
      <c r="F24" s="91">
        <f>(3.5*2.6*0.2-0.4*0.4*0.2*4)*C23</f>
        <v>1.6919999999999999</v>
      </c>
      <c r="G24" s="91"/>
      <c r="H24" s="91">
        <f>(2.7*2*0.2+1.8*0.2*2)*C23</f>
        <v>1.8000000000000003</v>
      </c>
      <c r="I24" s="91"/>
      <c r="J24" s="91">
        <f>J21/2</f>
        <v>121.22880000000001</v>
      </c>
      <c r="K24" s="91"/>
      <c r="L24" s="91"/>
      <c r="M24" s="91"/>
      <c r="N24" s="91"/>
      <c r="O24" s="88"/>
      <c r="P24" s="88"/>
      <c r="Q24" s="88"/>
      <c r="R24" s="105"/>
    </row>
    <row r="25" spans="1:21" s="92" customFormat="1" x14ac:dyDescent="0.2">
      <c r="A25" s="86"/>
      <c r="B25" s="86" t="s">
        <v>31</v>
      </c>
      <c r="C25" s="90"/>
      <c r="D25" s="91"/>
      <c r="E25" s="91"/>
      <c r="F25" s="91">
        <f>C23*(2.2*0.2*1.5*2+3.5*0.2*1.5*2-0.2*0.3*1*1.5-0.2*0.35*(3.5*2+4.4))</f>
        <v>2.5320000000000005</v>
      </c>
      <c r="G25" s="91"/>
      <c r="H25" s="91">
        <f>1.55*C23*2*(3.5+3.1+2.6+2.2)-0.45*2*(3.5+3.1+2.6+2.2)</f>
        <v>25.08</v>
      </c>
      <c r="I25" s="91">
        <f>I22/2</f>
        <v>67.531600000000012</v>
      </c>
      <c r="J25" s="91">
        <f>J22/2</f>
        <v>134.53439999999998</v>
      </c>
      <c r="K25" s="91"/>
      <c r="L25" s="91"/>
      <c r="M25" s="91"/>
      <c r="N25" s="91">
        <f>N22/2</f>
        <v>31.044</v>
      </c>
      <c r="O25" s="88"/>
      <c r="P25" s="88"/>
      <c r="Q25" s="88"/>
      <c r="R25" s="105"/>
    </row>
    <row r="26" spans="1:21" s="92" customFormat="1" x14ac:dyDescent="0.2">
      <c r="A26" s="86">
        <v>5</v>
      </c>
      <c r="B26" s="86" t="s">
        <v>29</v>
      </c>
      <c r="C26" s="90">
        <v>1</v>
      </c>
      <c r="D26" s="91">
        <f>C26*1.2*(3.5*2.75+4.7*3.95)/2</f>
        <v>16.914000000000001</v>
      </c>
      <c r="E26" s="91">
        <f>3.3*0.1*1.6</f>
        <v>0.52800000000000002</v>
      </c>
      <c r="F26" s="91"/>
      <c r="G26" s="91">
        <f>(3.3+1.6)*0.1*2</f>
        <v>0.98000000000000009</v>
      </c>
      <c r="H26" s="91"/>
      <c r="I26" s="91"/>
      <c r="J26" s="91"/>
      <c r="K26" s="91"/>
      <c r="L26" s="91"/>
      <c r="M26" s="91"/>
      <c r="N26" s="91"/>
      <c r="O26" s="88"/>
      <c r="P26" s="88"/>
      <c r="Q26" s="88"/>
      <c r="R26" s="105"/>
    </row>
    <row r="27" spans="1:21" s="92" customFormat="1" x14ac:dyDescent="0.2">
      <c r="A27" s="86"/>
      <c r="B27" s="86" t="s">
        <v>30</v>
      </c>
      <c r="C27" s="90"/>
      <c r="D27" s="91"/>
      <c r="E27" s="91"/>
      <c r="F27" s="91">
        <f>3.1*1.55*0.2*2</f>
        <v>1.9220000000000004</v>
      </c>
      <c r="G27" s="91"/>
      <c r="H27" s="91">
        <f>3.1*2*0.2+1.55*0.2*2</f>
        <v>1.8600000000000003</v>
      </c>
      <c r="I27" s="91">
        <f>4*0.85*I5</f>
        <v>1.3396000000000001</v>
      </c>
      <c r="J27" s="91">
        <f>J5*(20*2+16*2.4)</f>
        <v>48.294400000000003</v>
      </c>
      <c r="K27" s="91"/>
      <c r="L27" s="91"/>
      <c r="M27" s="91"/>
      <c r="N27" s="91"/>
      <c r="O27" s="88"/>
      <c r="P27" s="88"/>
      <c r="Q27" s="88"/>
      <c r="R27" s="105"/>
    </row>
    <row r="28" spans="1:21" s="82" customFormat="1" x14ac:dyDescent="0.2">
      <c r="A28" s="68"/>
      <c r="B28" s="68" t="s">
        <v>31</v>
      </c>
      <c r="C28" s="90"/>
      <c r="D28" s="91"/>
      <c r="E28" s="91"/>
      <c r="F28" s="91">
        <f>1.55*0.2*(3.1*2+1.95*2)-0.35*0.2*(3.1*2+1.95*2)</f>
        <v>2.4240000000000004</v>
      </c>
      <c r="G28" s="91"/>
      <c r="H28" s="91">
        <f>1.55*2*(3.1*2+1.95*2)-0.35*2*(3.1*2+1.95*2)</f>
        <v>24.24</v>
      </c>
      <c r="I28" s="91">
        <f>I5*(24*2.1+24*1.9)</f>
        <v>37.823999999999998</v>
      </c>
      <c r="J28" s="91">
        <f>J5*68*1.95</f>
        <v>81.681599999999989</v>
      </c>
      <c r="K28" s="91"/>
      <c r="L28" s="91"/>
      <c r="M28" s="91"/>
      <c r="N28" s="91">
        <f>8*0.76*N5</f>
        <v>12.0992</v>
      </c>
      <c r="O28" s="91"/>
      <c r="P28" s="91"/>
      <c r="Q28" s="91"/>
      <c r="R28" s="80"/>
    </row>
    <row r="29" spans="1:21" s="89" customFormat="1" x14ac:dyDescent="0.2">
      <c r="A29" s="93"/>
      <c r="B29" s="93"/>
      <c r="C29" s="94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</row>
    <row r="30" spans="1:21" s="89" customFormat="1" x14ac:dyDescent="0.2">
      <c r="A30" s="46"/>
      <c r="B30" s="46"/>
      <c r="C30" s="129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</row>
    <row r="31" spans="1:21" s="89" customFormat="1" ht="25.5" x14ac:dyDescent="0.35">
      <c r="A31" s="138" t="s">
        <v>267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</row>
    <row r="32" spans="1:21" ht="15" customHeight="1" x14ac:dyDescent="0.2">
      <c r="A32" s="141" t="s">
        <v>247</v>
      </c>
      <c r="B32" s="141"/>
      <c r="C32" s="141"/>
      <c r="D32" s="141"/>
      <c r="E32" s="141"/>
      <c r="F32" s="141"/>
      <c r="G32" s="14" t="s">
        <v>55</v>
      </c>
      <c r="H32" s="22" t="s">
        <v>272</v>
      </c>
      <c r="I32" s="22" t="s">
        <v>242</v>
      </c>
      <c r="J32" s="91" t="s">
        <v>244</v>
      </c>
      <c r="K32" s="91" t="s">
        <v>273</v>
      </c>
      <c r="L32" s="32" t="s">
        <v>249</v>
      </c>
      <c r="M32" s="73"/>
      <c r="N32" s="73"/>
      <c r="O32" s="73"/>
      <c r="P32" s="73"/>
      <c r="Q32" s="73"/>
      <c r="R32" s="53"/>
      <c r="S32" s="54" t="s">
        <v>264</v>
      </c>
      <c r="T32" s="55"/>
      <c r="U32" s="56"/>
    </row>
    <row r="33" spans="1:21" s="82" customFormat="1" x14ac:dyDescent="0.2">
      <c r="A33" s="142" t="s">
        <v>248</v>
      </c>
      <c r="B33" s="142"/>
      <c r="C33" s="142"/>
      <c r="D33" s="142"/>
      <c r="E33" s="142"/>
      <c r="F33" s="142"/>
      <c r="G33" s="127" t="s">
        <v>243</v>
      </c>
      <c r="H33" s="127" t="s">
        <v>243</v>
      </c>
      <c r="I33" s="127" t="s">
        <v>243</v>
      </c>
      <c r="J33" s="131" t="s">
        <v>245</v>
      </c>
      <c r="K33" s="131" t="s">
        <v>274</v>
      </c>
      <c r="L33" s="13" t="s">
        <v>7</v>
      </c>
      <c r="M33" s="13" t="s">
        <v>8</v>
      </c>
      <c r="N33" s="13" t="s">
        <v>9</v>
      </c>
      <c r="O33" s="13" t="s">
        <v>11</v>
      </c>
      <c r="P33" s="13" t="s">
        <v>10</v>
      </c>
      <c r="Q33" s="13" t="s">
        <v>14</v>
      </c>
      <c r="R33" s="22" t="s">
        <v>271</v>
      </c>
      <c r="S33" s="22" t="s">
        <v>268</v>
      </c>
      <c r="T33" s="127" t="s">
        <v>246</v>
      </c>
      <c r="U33" s="127" t="s">
        <v>250</v>
      </c>
    </row>
    <row r="34" spans="1:21" s="82" customFormat="1" x14ac:dyDescent="0.2">
      <c r="A34" s="140" t="s">
        <v>270</v>
      </c>
      <c r="B34" s="140"/>
      <c r="C34" s="140"/>
      <c r="D34" s="140"/>
      <c r="E34" s="140"/>
      <c r="F34" s="140"/>
      <c r="G34" s="22"/>
      <c r="H34" s="72"/>
      <c r="I34" s="72">
        <f>F8+F7</f>
        <v>24.578726800000002</v>
      </c>
      <c r="J34" s="80"/>
      <c r="K34" s="132">
        <f>C7+C8</f>
        <v>471</v>
      </c>
      <c r="L34" s="128">
        <f>I7+I8</f>
        <v>728.78940892799994</v>
      </c>
      <c r="M34" s="128"/>
      <c r="N34" s="128"/>
      <c r="O34" s="128">
        <f>L7</f>
        <v>851.4950399999999</v>
      </c>
      <c r="P34" s="128">
        <f>M8</f>
        <v>4050.2210399999999</v>
      </c>
      <c r="Q34" s="128">
        <f>N7+N8</f>
        <v>831.024</v>
      </c>
      <c r="R34" s="22">
        <f>R8+R7</f>
        <v>356.96435309999998</v>
      </c>
      <c r="S34" s="72"/>
      <c r="T34" s="72"/>
      <c r="U34" s="22"/>
    </row>
    <row r="35" spans="1:21" s="82" customFormat="1" x14ac:dyDescent="0.2">
      <c r="A35" s="140" t="s">
        <v>70</v>
      </c>
      <c r="B35" s="140"/>
      <c r="C35" s="140"/>
      <c r="D35" s="140"/>
      <c r="E35" s="140"/>
      <c r="F35" s="140"/>
      <c r="G35" s="14">
        <f>SUM(D10:D19)</f>
        <v>1598.4485000000002</v>
      </c>
      <c r="H35" s="72">
        <f>SUM(E10:E19)</f>
        <v>62.575499999999998</v>
      </c>
      <c r="I35" s="72">
        <f>SUM(F10:F19)</f>
        <v>569.76517312499993</v>
      </c>
      <c r="J35" s="14">
        <f>SUM(G10:H19)</f>
        <v>1223.4343163838228</v>
      </c>
      <c r="K35" s="22"/>
      <c r="L35" s="72"/>
      <c r="M35" s="72">
        <f>SUM(J10:J19)</f>
        <v>1025.11024</v>
      </c>
      <c r="N35" s="72">
        <f>SUM(K10:K19)</f>
        <v>9805.9624000000003</v>
      </c>
      <c r="O35" s="72"/>
      <c r="P35" s="72"/>
      <c r="Q35" s="72">
        <f>SUM(N10:N19)</f>
        <v>21683.040000000001</v>
      </c>
      <c r="R35" s="22"/>
      <c r="S35" s="72">
        <f>M35</f>
        <v>1025.11024</v>
      </c>
      <c r="T35" s="72">
        <f>N35+Q35</f>
        <v>31489.002400000001</v>
      </c>
      <c r="U35" s="22"/>
    </row>
    <row r="36" spans="1:21" s="82" customFormat="1" x14ac:dyDescent="0.2">
      <c r="A36" s="140" t="s">
        <v>269</v>
      </c>
      <c r="B36" s="140"/>
      <c r="C36" s="140"/>
      <c r="D36" s="140"/>
      <c r="E36" s="140"/>
      <c r="F36" s="140"/>
      <c r="G36" s="14">
        <f>SUM(D20:D27)</f>
        <v>76.529999999999987</v>
      </c>
      <c r="H36" s="72">
        <f>SUM(E20:E27)</f>
        <v>3.2805</v>
      </c>
      <c r="I36" s="72">
        <f>SUM(F21:F28)</f>
        <v>17.147000000000002</v>
      </c>
      <c r="J36" s="14">
        <f>SUM(G20:H28)</f>
        <v>130.71724999999998</v>
      </c>
      <c r="K36" s="22"/>
      <c r="L36" s="72">
        <f>SUM(I22:I28)</f>
        <v>241.75839999999999</v>
      </c>
      <c r="M36" s="72">
        <f>SUM(J21:J28)</f>
        <v>897.26559999999995</v>
      </c>
      <c r="N36" s="72"/>
      <c r="O36" s="72"/>
      <c r="P36" s="72"/>
      <c r="Q36" s="72">
        <f>SUM(N21:N28)</f>
        <v>105.2312</v>
      </c>
      <c r="R36" s="22"/>
      <c r="S36" s="72"/>
      <c r="T36" s="72"/>
      <c r="U36" s="22"/>
    </row>
    <row r="37" spans="1:21" s="82" customFormat="1" x14ac:dyDescent="0.2">
      <c r="A37" s="16"/>
      <c r="B37" s="16"/>
      <c r="C37" s="1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21" s="82" customFormat="1" x14ac:dyDescent="0.2">
      <c r="A38" s="16"/>
      <c r="B38" s="16"/>
      <c r="C38" s="13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21" s="82" customFormat="1" x14ac:dyDescent="0.2">
      <c r="A39" s="16"/>
      <c r="B39" s="16"/>
      <c r="C39" s="13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21" s="82" customFormat="1" x14ac:dyDescent="0.2">
      <c r="C40" s="96"/>
    </row>
    <row r="41" spans="1:21" s="82" customFormat="1" x14ac:dyDescent="0.2">
      <c r="C41" s="96"/>
    </row>
    <row r="42" spans="1:21" x14ac:dyDescent="0.2">
      <c r="D42" s="83"/>
      <c r="E42" s="83"/>
      <c r="F42" s="83"/>
      <c r="G42" s="83"/>
      <c r="H42" s="83"/>
      <c r="I42" s="83"/>
      <c r="J42" s="83"/>
      <c r="K42" s="83"/>
      <c r="L42" s="83"/>
      <c r="M42" s="82"/>
      <c r="N42" s="82"/>
      <c r="O42" s="82"/>
      <c r="P42" s="82"/>
      <c r="Q42" s="83"/>
    </row>
    <row r="43" spans="1:21" s="82" customFormat="1" x14ac:dyDescent="0.2">
      <c r="C43" s="96"/>
    </row>
    <row r="44" spans="1:21" x14ac:dyDescent="0.2"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</row>
    <row r="45" spans="1:21" x14ac:dyDescent="0.2"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</row>
    <row r="46" spans="1:21" x14ac:dyDescent="0.2"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</row>
    <row r="47" spans="1:21" x14ac:dyDescent="0.2"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</row>
    <row r="48" spans="1:21" x14ac:dyDescent="0.2"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</row>
    <row r="49" spans="3:3" s="83" customFormat="1" x14ac:dyDescent="0.2">
      <c r="C49" s="84"/>
    </row>
    <row r="50" spans="3:3" s="83" customFormat="1" x14ac:dyDescent="0.2">
      <c r="C50" s="84"/>
    </row>
    <row r="51" spans="3:3" s="83" customFormat="1" x14ac:dyDescent="0.2">
      <c r="C51" s="84"/>
    </row>
    <row r="52" spans="3:3" s="83" customFormat="1" x14ac:dyDescent="0.2">
      <c r="C52" s="84"/>
    </row>
    <row r="53" spans="3:3" s="83" customFormat="1" x14ac:dyDescent="0.2">
      <c r="C53" s="84"/>
    </row>
    <row r="54" spans="3:3" s="83" customFormat="1" x14ac:dyDescent="0.2">
      <c r="C54" s="84"/>
    </row>
    <row r="55" spans="3:3" s="83" customFormat="1" x14ac:dyDescent="0.2">
      <c r="C55" s="84"/>
    </row>
    <row r="56" spans="3:3" s="83" customFormat="1" x14ac:dyDescent="0.2">
      <c r="C56" s="84"/>
    </row>
    <row r="57" spans="3:3" s="83" customFormat="1" x14ac:dyDescent="0.2">
      <c r="C57" s="84"/>
    </row>
    <row r="58" spans="3:3" s="83" customFormat="1" x14ac:dyDescent="0.2">
      <c r="C58" s="84"/>
    </row>
    <row r="59" spans="3:3" s="83" customFormat="1" x14ac:dyDescent="0.2">
      <c r="C59" s="84"/>
    </row>
    <row r="60" spans="3:3" s="83" customFormat="1" x14ac:dyDescent="0.2">
      <c r="C60" s="84"/>
    </row>
    <row r="61" spans="3:3" s="83" customFormat="1" x14ac:dyDescent="0.2">
      <c r="C61" s="84"/>
    </row>
    <row r="62" spans="3:3" s="83" customFormat="1" x14ac:dyDescent="0.2">
      <c r="C62" s="84"/>
    </row>
    <row r="63" spans="3:3" s="83" customFormat="1" x14ac:dyDescent="0.2">
      <c r="C63" s="84"/>
    </row>
    <row r="64" spans="3:3" s="83" customFormat="1" x14ac:dyDescent="0.2">
      <c r="C64" s="84"/>
    </row>
    <row r="65" spans="3:3" s="83" customFormat="1" x14ac:dyDescent="0.2">
      <c r="C65" s="84"/>
    </row>
    <row r="66" spans="3:3" s="83" customFormat="1" x14ac:dyDescent="0.2">
      <c r="C66" s="84"/>
    </row>
    <row r="67" spans="3:3" s="83" customFormat="1" x14ac:dyDescent="0.2">
      <c r="C67" s="84"/>
    </row>
    <row r="68" spans="3:3" s="83" customFormat="1" x14ac:dyDescent="0.2">
      <c r="C68" s="84"/>
    </row>
    <row r="69" spans="3:3" s="83" customFormat="1" x14ac:dyDescent="0.2">
      <c r="C69" s="84"/>
    </row>
    <row r="70" spans="3:3" s="83" customFormat="1" x14ac:dyDescent="0.2">
      <c r="C70" s="84"/>
    </row>
    <row r="71" spans="3:3" s="83" customFormat="1" x14ac:dyDescent="0.2">
      <c r="C71" s="84"/>
    </row>
    <row r="72" spans="3:3" s="83" customFormat="1" x14ac:dyDescent="0.2">
      <c r="C72" s="84"/>
    </row>
    <row r="73" spans="3:3" s="83" customFormat="1" x14ac:dyDescent="0.2">
      <c r="C73" s="84"/>
    </row>
    <row r="74" spans="3:3" s="83" customFormat="1" x14ac:dyDescent="0.2">
      <c r="C74" s="84"/>
    </row>
    <row r="75" spans="3:3" s="83" customFormat="1" x14ac:dyDescent="0.2">
      <c r="C75" s="84"/>
    </row>
    <row r="76" spans="3:3" s="83" customFormat="1" x14ac:dyDescent="0.2">
      <c r="C76" s="84"/>
    </row>
    <row r="77" spans="3:3" s="83" customFormat="1" x14ac:dyDescent="0.2">
      <c r="C77" s="84"/>
    </row>
    <row r="78" spans="3:3" s="83" customFormat="1" x14ac:dyDescent="0.2">
      <c r="C78" s="84"/>
    </row>
    <row r="79" spans="3:3" s="83" customFormat="1" x14ac:dyDescent="0.2">
      <c r="C79" s="84"/>
    </row>
    <row r="80" spans="3:3" s="83" customFormat="1" x14ac:dyDescent="0.2">
      <c r="C80" s="84"/>
    </row>
    <row r="81" spans="3:3" s="83" customFormat="1" x14ac:dyDescent="0.2">
      <c r="C81" s="84"/>
    </row>
    <row r="82" spans="3:3" s="83" customFormat="1" x14ac:dyDescent="0.2">
      <c r="C82" s="84"/>
    </row>
    <row r="83" spans="3:3" s="83" customFormat="1" x14ac:dyDescent="0.2">
      <c r="C83" s="84"/>
    </row>
    <row r="84" spans="3:3" s="83" customFormat="1" x14ac:dyDescent="0.2">
      <c r="C84" s="84"/>
    </row>
    <row r="85" spans="3:3" s="83" customFormat="1" x14ac:dyDescent="0.2">
      <c r="C85" s="84"/>
    </row>
    <row r="86" spans="3:3" s="83" customFormat="1" x14ac:dyDescent="0.2">
      <c r="C86" s="84"/>
    </row>
    <row r="87" spans="3:3" s="83" customFormat="1" x14ac:dyDescent="0.2">
      <c r="C87" s="84"/>
    </row>
    <row r="88" spans="3:3" s="83" customFormat="1" x14ac:dyDescent="0.2">
      <c r="C88" s="84"/>
    </row>
    <row r="89" spans="3:3" s="83" customFormat="1" x14ac:dyDescent="0.2">
      <c r="C89" s="84"/>
    </row>
    <row r="90" spans="3:3" s="83" customFormat="1" x14ac:dyDescent="0.2">
      <c r="C90" s="84"/>
    </row>
    <row r="91" spans="3:3" s="83" customFormat="1" x14ac:dyDescent="0.2">
      <c r="C91" s="84"/>
    </row>
    <row r="92" spans="3:3" s="83" customFormat="1" x14ac:dyDescent="0.2">
      <c r="C92" s="84"/>
    </row>
    <row r="93" spans="3:3" s="83" customFormat="1" x14ac:dyDescent="0.2">
      <c r="C93" s="84"/>
    </row>
    <row r="94" spans="3:3" s="83" customFormat="1" x14ac:dyDescent="0.2">
      <c r="C94" s="84"/>
    </row>
    <row r="95" spans="3:3" s="83" customFormat="1" x14ac:dyDescent="0.2">
      <c r="C95" s="84"/>
    </row>
    <row r="96" spans="3:3" s="83" customFormat="1" x14ac:dyDescent="0.2">
      <c r="C96" s="84"/>
    </row>
    <row r="97" spans="3:3" s="83" customFormat="1" x14ac:dyDescent="0.2">
      <c r="C97" s="84"/>
    </row>
    <row r="98" spans="3:3" s="83" customFormat="1" x14ac:dyDescent="0.2">
      <c r="C98" s="84"/>
    </row>
    <row r="99" spans="3:3" s="83" customFormat="1" x14ac:dyDescent="0.2">
      <c r="C99" s="84"/>
    </row>
    <row r="100" spans="3:3" s="83" customFormat="1" x14ac:dyDescent="0.2">
      <c r="C100" s="84"/>
    </row>
    <row r="101" spans="3:3" s="83" customFormat="1" x14ac:dyDescent="0.2">
      <c r="C101" s="84"/>
    </row>
    <row r="102" spans="3:3" s="83" customFormat="1" x14ac:dyDescent="0.2">
      <c r="C102" s="84"/>
    </row>
    <row r="103" spans="3:3" s="83" customFormat="1" x14ac:dyDescent="0.2">
      <c r="C103" s="84"/>
    </row>
    <row r="104" spans="3:3" s="83" customFormat="1" x14ac:dyDescent="0.2">
      <c r="C104" s="84"/>
    </row>
    <row r="105" spans="3:3" s="83" customFormat="1" x14ac:dyDescent="0.2">
      <c r="C105" s="84"/>
    </row>
    <row r="106" spans="3:3" s="83" customFormat="1" x14ac:dyDescent="0.2">
      <c r="C106" s="84"/>
    </row>
  </sheetData>
  <mergeCells count="8">
    <mergeCell ref="A3:R3"/>
    <mergeCell ref="Q4:R4"/>
    <mergeCell ref="A31:R31"/>
    <mergeCell ref="A35:F35"/>
    <mergeCell ref="A36:F36"/>
    <mergeCell ref="A32:F32"/>
    <mergeCell ref="A33:F33"/>
    <mergeCell ref="A34:F34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7"/>
  <sheetViews>
    <sheetView topLeftCell="A70" workbookViewId="0">
      <selection activeCell="I87" sqref="I87"/>
    </sheetView>
  </sheetViews>
  <sheetFormatPr defaultRowHeight="15" x14ac:dyDescent="0.25"/>
  <cols>
    <col min="1" max="1" width="5.5703125" customWidth="1"/>
    <col min="6" max="6" width="11" customWidth="1"/>
    <col min="7" max="7" width="10.140625" customWidth="1"/>
    <col min="8" max="8" width="11.85546875" customWidth="1"/>
    <col min="9" max="9" width="9.140625" customWidth="1"/>
    <col min="10" max="10" width="10.140625" customWidth="1"/>
    <col min="11" max="11" width="9.5703125" customWidth="1"/>
    <col min="12" max="13" width="9.5703125" bestFit="1" customWidth="1"/>
    <col min="15" max="15" width="12.42578125" customWidth="1"/>
    <col min="16" max="16" width="9.5703125" bestFit="1" customWidth="1"/>
  </cols>
  <sheetData>
    <row r="1" spans="1:16" ht="21" x14ac:dyDescent="0.35">
      <c r="A1" s="143" t="s">
        <v>69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6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0"/>
    </row>
    <row r="3" spans="1:16" x14ac:dyDescent="0.25">
      <c r="A3" s="3" t="s">
        <v>0</v>
      </c>
      <c r="B3" s="3" t="s">
        <v>1</v>
      </c>
      <c r="C3" s="4" t="s">
        <v>59</v>
      </c>
      <c r="D3" s="4"/>
      <c r="E3" s="4" t="s">
        <v>50</v>
      </c>
      <c r="F3" s="3" t="s">
        <v>56</v>
      </c>
      <c r="G3" s="4" t="s">
        <v>4</v>
      </c>
      <c r="H3" s="4" t="s">
        <v>58</v>
      </c>
      <c r="I3" s="4" t="s">
        <v>6</v>
      </c>
      <c r="J3" s="4" t="s">
        <v>7</v>
      </c>
      <c r="K3" s="4" t="s">
        <v>11</v>
      </c>
      <c r="L3" s="4" t="s">
        <v>14</v>
      </c>
      <c r="M3" s="4" t="s">
        <v>12</v>
      </c>
      <c r="N3" s="4" t="s">
        <v>13</v>
      </c>
    </row>
    <row r="4" spans="1:16" x14ac:dyDescent="0.25">
      <c r="A4" s="5"/>
      <c r="B4" s="5"/>
      <c r="C4" s="6"/>
      <c r="D4" s="6"/>
      <c r="E4" s="6"/>
      <c r="F4" s="3"/>
      <c r="G4" s="6"/>
      <c r="H4" s="6"/>
      <c r="I4" s="6">
        <v>0.222</v>
      </c>
      <c r="J4" s="6">
        <v>0.39400000000000002</v>
      </c>
      <c r="K4" s="6">
        <v>1.208</v>
      </c>
      <c r="L4" s="6">
        <v>1.99</v>
      </c>
      <c r="M4" s="6">
        <v>2.9830000000000001</v>
      </c>
      <c r="N4" s="6">
        <v>3.851</v>
      </c>
    </row>
    <row r="5" spans="1:16" s="7" customFormat="1" x14ac:dyDescent="0.25">
      <c r="A5" s="106">
        <v>6.1</v>
      </c>
      <c r="B5" s="1" t="s">
        <v>60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111"/>
    </row>
    <row r="6" spans="1:16" s="7" customFormat="1" x14ac:dyDescent="0.25">
      <c r="A6" s="109"/>
      <c r="B6" s="1" t="s">
        <v>37</v>
      </c>
      <c r="C6" s="1">
        <v>22</v>
      </c>
      <c r="D6" s="1"/>
      <c r="E6" s="1">
        <f>4.65+0.75</f>
        <v>5.4</v>
      </c>
      <c r="F6" s="1" t="s">
        <v>51</v>
      </c>
      <c r="G6" s="1">
        <f>(0.4*0.4*(4.6+0.8)-0.6*0.4*0.4*2)*C6</f>
        <v>14.784000000000002</v>
      </c>
      <c r="H6" s="1">
        <f>(0.4*4*(4.6+0.8)-0.6*4*2)*C6</f>
        <v>84.479999999999976</v>
      </c>
      <c r="I6" s="1"/>
      <c r="J6" s="1">
        <f>1.46*C6*J4*40</f>
        <v>506.21119999999996</v>
      </c>
      <c r="K6" s="1"/>
      <c r="L6" s="1"/>
      <c r="M6" s="1">
        <f>M4*8*12*C6</f>
        <v>6300.0959999999995</v>
      </c>
      <c r="N6" s="1"/>
    </row>
    <row r="7" spans="1:16" s="7" customFormat="1" x14ac:dyDescent="0.25">
      <c r="A7" s="109"/>
      <c r="B7" s="1" t="s">
        <v>38</v>
      </c>
      <c r="C7" s="1">
        <v>16</v>
      </c>
      <c r="D7" s="1"/>
      <c r="E7" s="1">
        <f t="shared" ref="E7:E11" si="0">4.65+0.75</f>
        <v>5.4</v>
      </c>
      <c r="F7" s="1" t="s">
        <v>52</v>
      </c>
      <c r="G7" s="1">
        <f>C7*((1.2+4.65)*0.5*0.5-0.6*2*0.5*0.5)</f>
        <v>18.600000000000001</v>
      </c>
      <c r="H7" s="1">
        <f>C7*((1.2+4.65)*0.5*4-0.6*2*4*0.5)</f>
        <v>148.80000000000001</v>
      </c>
      <c r="I7" s="1"/>
      <c r="J7" s="1">
        <f>(40*1.86+0.535*20)*C7*J4</f>
        <v>536.47040000000004</v>
      </c>
      <c r="K7" s="1"/>
      <c r="L7" s="1"/>
      <c r="M7" s="1">
        <f>(1.8+4.65+1.6+0.4+0.3)*16*M4*C7</f>
        <v>6681.9200000000019</v>
      </c>
      <c r="N7" s="1"/>
    </row>
    <row r="8" spans="1:16" s="7" customFormat="1" x14ac:dyDescent="0.25">
      <c r="A8" s="109"/>
      <c r="B8" s="1" t="s">
        <v>41</v>
      </c>
      <c r="C8" s="1">
        <v>2</v>
      </c>
      <c r="D8" s="1"/>
      <c r="E8" s="1">
        <f t="shared" si="0"/>
        <v>5.4</v>
      </c>
      <c r="F8" s="1" t="s">
        <v>52</v>
      </c>
      <c r="G8" s="1">
        <f>C8*((1.2+4.65)*0.5*0.5-0.6*2*0.5*0.5)</f>
        <v>2.3250000000000002</v>
      </c>
      <c r="H8" s="1">
        <f>C8*((1.2+4.65)*0.5*4-0.6*2*4*0.5)</f>
        <v>18.600000000000001</v>
      </c>
      <c r="I8" s="1"/>
      <c r="J8" s="1">
        <f>(40*1.86+0.535*20)*C8*J4</f>
        <v>67.058800000000005</v>
      </c>
      <c r="K8" s="1"/>
      <c r="L8" s="1"/>
      <c r="M8" s="1">
        <f>(1.8+4.65+1.6+0.4+0.3)*16*M4*C8</f>
        <v>835.24000000000024</v>
      </c>
      <c r="N8" s="1"/>
    </row>
    <row r="9" spans="1:16" s="7" customFormat="1" x14ac:dyDescent="0.25">
      <c r="A9" s="109"/>
      <c r="B9" s="1" t="s">
        <v>39</v>
      </c>
      <c r="C9" s="1">
        <v>40</v>
      </c>
      <c r="D9" s="1"/>
      <c r="E9" s="1">
        <f t="shared" si="0"/>
        <v>5.4</v>
      </c>
      <c r="F9" s="1" t="s">
        <v>52</v>
      </c>
      <c r="G9" s="1">
        <f>C9*((1.2+4.65)*0.5*0.5-0.6*2*0.5*0.5)</f>
        <v>46.5</v>
      </c>
      <c r="H9" s="1">
        <f>C9*((1.2+4.65)*0.5*4-0.6*2*4*0.5)</f>
        <v>372</v>
      </c>
      <c r="I9" s="1"/>
      <c r="J9" s="1">
        <f>(40*1.86+0.535*20)*C9*J4</f>
        <v>1341.1760000000002</v>
      </c>
      <c r="K9" s="1"/>
      <c r="L9" s="1"/>
      <c r="M9" s="1">
        <f>(1.8+4.65+1.6+0.4+0.3)*16*M4*C9</f>
        <v>16704.800000000003</v>
      </c>
      <c r="N9" s="1"/>
    </row>
    <row r="10" spans="1:16" s="7" customFormat="1" x14ac:dyDescent="0.25">
      <c r="A10" s="109"/>
      <c r="B10" s="1" t="s">
        <v>40</v>
      </c>
      <c r="C10" s="1">
        <v>14</v>
      </c>
      <c r="D10" s="1"/>
      <c r="E10" s="1">
        <f t="shared" si="0"/>
        <v>5.4</v>
      </c>
      <c r="F10" s="1" t="s">
        <v>52</v>
      </c>
      <c r="G10" s="1">
        <f>C10*((1.2+4.65)*0.5*0.5-0.6*2*0.5*0.5)</f>
        <v>16.275000000000002</v>
      </c>
      <c r="H10" s="1">
        <f>C10*((1.2+4.65)*0.5*4-0.6*2*4*0.5)</f>
        <v>130.20000000000002</v>
      </c>
      <c r="I10" s="1"/>
      <c r="J10" s="1">
        <f>(40*1.86+0.535*20)*C10*J4</f>
        <v>469.41160000000008</v>
      </c>
      <c r="K10" s="1"/>
      <c r="L10" s="1"/>
      <c r="M10" s="1"/>
      <c r="N10" s="1">
        <f>(1.6+4.65+1.8+0.4+0.3)*16*N4*C10</f>
        <v>7547.9600000000009</v>
      </c>
    </row>
    <row r="11" spans="1:16" s="7" customFormat="1" x14ac:dyDescent="0.25">
      <c r="A11" s="109"/>
      <c r="B11" s="1" t="s">
        <v>42</v>
      </c>
      <c r="C11" s="1">
        <v>2</v>
      </c>
      <c r="D11" s="1"/>
      <c r="E11" s="1">
        <f t="shared" si="0"/>
        <v>5.4</v>
      </c>
      <c r="F11" s="1" t="s">
        <v>52</v>
      </c>
      <c r="G11" s="1">
        <f>C11*((1.2+4.65)*0.5*0.5-0.6*2*0.5*0.5)</f>
        <v>2.3250000000000002</v>
      </c>
      <c r="H11" s="1">
        <f>C11*((1.2+4.65)*0.5*4-0.6*2*4*0.5)</f>
        <v>18.600000000000001</v>
      </c>
      <c r="I11" s="1"/>
      <c r="J11" s="1">
        <f>(40*1.86+0.535*20)*C11*J4</f>
        <v>67.058800000000005</v>
      </c>
      <c r="K11" s="1"/>
      <c r="L11" s="1"/>
      <c r="M11" s="1">
        <f>(1.8+4.65+1.6+0.4+0.3)*16*M4*C11</f>
        <v>835.24000000000024</v>
      </c>
      <c r="N11" s="1"/>
      <c r="P11" s="112"/>
    </row>
    <row r="12" spans="1:16" s="7" customFormat="1" x14ac:dyDescent="0.25">
      <c r="A12" s="109"/>
      <c r="B12" s="1" t="s">
        <v>43</v>
      </c>
      <c r="C12" s="1">
        <v>2</v>
      </c>
      <c r="D12" s="1"/>
      <c r="E12" s="1">
        <f>4.65+0.75</f>
        <v>5.4</v>
      </c>
      <c r="F12" s="1" t="s">
        <v>51</v>
      </c>
      <c r="G12" s="1">
        <f>(0.4*0.4*(4.6+0.8)-0.6*0.4*0.4*2)*C12</f>
        <v>1.3440000000000003</v>
      </c>
      <c r="H12" s="1">
        <f>(0.4*4*(4.6+0.8)-0.6*4*0.4*2)*C12</f>
        <v>13.439999999999998</v>
      </c>
      <c r="I12" s="1"/>
      <c r="J12" s="1">
        <f>1.46*C12*J4*40</f>
        <v>46.019199999999998</v>
      </c>
      <c r="K12" s="1"/>
      <c r="L12" s="1">
        <f>L4*8*12*C12</f>
        <v>382.08</v>
      </c>
      <c r="M12" s="1"/>
      <c r="N12" s="1"/>
    </row>
    <row r="13" spans="1:16" s="7" customFormat="1" x14ac:dyDescent="0.25">
      <c r="A13" s="109"/>
      <c r="B13" s="1" t="s">
        <v>44</v>
      </c>
      <c r="C13" s="1">
        <v>6</v>
      </c>
      <c r="D13" s="1"/>
      <c r="E13" s="1">
        <f>4.65+0.75</f>
        <v>5.4</v>
      </c>
      <c r="F13" s="1" t="s">
        <v>53</v>
      </c>
      <c r="G13" s="1">
        <f>(0.3*0.2*(4.6+0.8)-0.6*0.3*0.2*2)*C13</f>
        <v>1.5119999999999996</v>
      </c>
      <c r="H13" s="1">
        <f>(0.25*4*(4.6+0.8)-0.6*4*0.25*2)*C13</f>
        <v>25.199999999999996</v>
      </c>
      <c r="I13" s="1"/>
      <c r="J13" s="1">
        <f>0.86*J4*40*C13</f>
        <v>81.321600000000004</v>
      </c>
      <c r="K13" s="1"/>
      <c r="L13" s="1">
        <f>6*8*L4*C13</f>
        <v>573.12</v>
      </c>
      <c r="M13" s="1"/>
      <c r="N13" s="1"/>
    </row>
    <row r="14" spans="1:16" s="7" customFormat="1" x14ac:dyDescent="0.25">
      <c r="A14" s="109"/>
      <c r="B14" s="1" t="s">
        <v>45</v>
      </c>
      <c r="C14" s="1">
        <v>5</v>
      </c>
      <c r="D14" s="1"/>
      <c r="E14" s="1">
        <f t="shared" ref="E14:E18" si="1">4.65+0.75</f>
        <v>5.4</v>
      </c>
      <c r="F14" s="1" t="s">
        <v>54</v>
      </c>
      <c r="G14" s="1">
        <f>(0.4*0.2*(4.6+0.8)-0.6*0.4*0.2*2)*C14</f>
        <v>1.6800000000000004</v>
      </c>
      <c r="H14" s="1">
        <f>(0.3*4*(4.6+0.8)-0.6*4*0.3*2)*C14</f>
        <v>25.199999999999996</v>
      </c>
      <c r="I14" s="1"/>
      <c r="J14" s="1">
        <f>1.06*J4*40*C14</f>
        <v>83.528000000000006</v>
      </c>
      <c r="K14" s="1"/>
      <c r="L14" s="1">
        <f>6*8*L4*C14</f>
        <v>477.59999999999997</v>
      </c>
      <c r="M14" s="1"/>
      <c r="N14" s="1"/>
    </row>
    <row r="15" spans="1:16" s="7" customFormat="1" x14ac:dyDescent="0.25">
      <c r="A15" s="109"/>
      <c r="B15" s="1" t="s">
        <v>49</v>
      </c>
      <c r="C15" s="1">
        <v>2</v>
      </c>
      <c r="D15" s="1"/>
      <c r="E15" s="1">
        <f t="shared" si="1"/>
        <v>5.4</v>
      </c>
      <c r="F15" s="1" t="s">
        <v>54</v>
      </c>
      <c r="G15" s="1">
        <f>(0.4*0.2*(4.6+0.8)-0.6*0.4*0.2*2)*C15</f>
        <v>0.67200000000000015</v>
      </c>
      <c r="H15" s="1">
        <f>(0.3*4*(4.6+0.8)-0.6*4*0.3*2)*C15</f>
        <v>10.079999999999998</v>
      </c>
      <c r="I15" s="1"/>
      <c r="J15" s="1">
        <f>1.06*J4*40*C15</f>
        <v>33.411200000000001</v>
      </c>
      <c r="K15" s="1"/>
      <c r="L15" s="1">
        <f>6*8*L4*C15</f>
        <v>191.04</v>
      </c>
      <c r="M15" s="1"/>
      <c r="N15" s="1"/>
    </row>
    <row r="16" spans="1:16" s="7" customFormat="1" x14ac:dyDescent="0.25">
      <c r="A16" s="109"/>
      <c r="B16" s="1" t="s">
        <v>46</v>
      </c>
      <c r="C16" s="1">
        <v>8</v>
      </c>
      <c r="D16" s="1"/>
      <c r="E16" s="1">
        <f t="shared" si="1"/>
        <v>5.4</v>
      </c>
      <c r="F16" s="1" t="s">
        <v>62</v>
      </c>
      <c r="G16" s="1">
        <f>(0.3*0.3*(4.6+0.8)-0.6*0.3*0.3*2)*C16</f>
        <v>3.0239999999999996</v>
      </c>
      <c r="H16" s="1">
        <f>(0.3*4*(4.6+0.8)-0.6*4*0.3*2)*C16</f>
        <v>40.319999999999993</v>
      </c>
      <c r="I16" s="1"/>
      <c r="J16" s="1">
        <f>1.06*J4*40*C16</f>
        <v>133.6448</v>
      </c>
      <c r="K16" s="1"/>
      <c r="L16" s="1">
        <f>8*8*L4*C16</f>
        <v>1018.88</v>
      </c>
      <c r="M16" s="1"/>
      <c r="N16" s="1"/>
    </row>
    <row r="17" spans="1:16" s="7" customFormat="1" x14ac:dyDescent="0.25">
      <c r="A17" s="109"/>
      <c r="B17" s="1" t="s">
        <v>47</v>
      </c>
      <c r="C17" s="1">
        <v>6</v>
      </c>
      <c r="D17" s="1"/>
      <c r="E17" s="1">
        <f t="shared" si="1"/>
        <v>5.4</v>
      </c>
      <c r="F17" s="1" t="s">
        <v>51</v>
      </c>
      <c r="G17" s="1">
        <f>(0.4*0.4*(4.6+0.8)-0.6*0.4*0.4*2)*C17</f>
        <v>4.0320000000000009</v>
      </c>
      <c r="H17" s="1">
        <f>(0.4*4*(4.6+0.8)-0.6*4*0.4*2)*C17</f>
        <v>40.319999999999993</v>
      </c>
      <c r="I17" s="1"/>
      <c r="J17" s="1">
        <f>1.46*C17*J4*40</f>
        <v>138.05760000000001</v>
      </c>
      <c r="K17" s="1"/>
      <c r="L17" s="1">
        <f>L4*8*12*C17</f>
        <v>1146.24</v>
      </c>
      <c r="M17" s="1"/>
      <c r="N17" s="1"/>
    </row>
    <row r="18" spans="1:16" s="7" customFormat="1" x14ac:dyDescent="0.25">
      <c r="A18" s="110"/>
      <c r="B18" s="1" t="s">
        <v>48</v>
      </c>
      <c r="C18" s="1">
        <v>6</v>
      </c>
      <c r="D18" s="1"/>
      <c r="E18" s="1">
        <f t="shared" si="1"/>
        <v>5.4</v>
      </c>
      <c r="F18" s="1" t="s">
        <v>57</v>
      </c>
      <c r="G18" s="1">
        <f>3.14*C18*0.2^2*(3.87+0.8)-C18*0.6*0.2*0.4*2</f>
        <v>2.9433120000000006</v>
      </c>
      <c r="H18" s="1">
        <f>3.14*C18*0.4*(3.87+0.8)</f>
        <v>35.19312</v>
      </c>
      <c r="I18" s="1"/>
      <c r="J18" s="1">
        <f>1.219*32*C18*J4</f>
        <v>92.214911999999998</v>
      </c>
      <c r="K18" s="1">
        <f>K4*6.32*8*C18</f>
        <v>366.45888000000002</v>
      </c>
      <c r="L18" s="1"/>
      <c r="M18" s="1"/>
      <c r="N18" s="1"/>
      <c r="P18"/>
    </row>
    <row r="19" spans="1:16" x14ac:dyDescent="0.25">
      <c r="A19" s="64">
        <v>6.2</v>
      </c>
      <c r="B19" s="5" t="s">
        <v>61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1"/>
      <c r="P19" s="7"/>
    </row>
    <row r="20" spans="1:16" s="7" customFormat="1" x14ac:dyDescent="0.25">
      <c r="A20" s="62"/>
      <c r="B20" s="5" t="s">
        <v>37</v>
      </c>
      <c r="C20" s="5">
        <v>22</v>
      </c>
      <c r="D20" s="5"/>
      <c r="E20" s="5">
        <f>4.65-0.6</f>
        <v>4.0500000000000007</v>
      </c>
      <c r="F20" s="5" t="s">
        <v>51</v>
      </c>
      <c r="G20" s="5">
        <f>0.4*0.4*E20*C20</f>
        <v>14.256000000000006</v>
      </c>
      <c r="H20" s="5">
        <f>0.4*E20*C20*4</f>
        <v>142.56000000000003</v>
      </c>
      <c r="I20" s="5"/>
      <c r="J20" s="5">
        <f>1.46*C20*J4*32</f>
        <v>404.96895999999998</v>
      </c>
      <c r="K20" s="5"/>
      <c r="L20" s="5">
        <f>L4*5.3*12*C20</f>
        <v>2784.4079999999999</v>
      </c>
      <c r="M20" s="5"/>
      <c r="N20" s="5"/>
      <c r="P20"/>
    </row>
    <row r="21" spans="1:16" x14ac:dyDescent="0.25">
      <c r="A21" s="62"/>
      <c r="B21" s="5" t="s">
        <v>38</v>
      </c>
      <c r="C21" s="5">
        <v>16</v>
      </c>
      <c r="D21" s="5"/>
      <c r="E21" s="5">
        <f t="shared" ref="E21:E31" si="2">4.65-0.6</f>
        <v>4.0500000000000007</v>
      </c>
      <c r="F21" s="5" t="s">
        <v>52</v>
      </c>
      <c r="G21" s="5">
        <f>0.5*0.5*E21*C21</f>
        <v>16.200000000000003</v>
      </c>
      <c r="H21" s="5">
        <f>0.5*E21*C21*4</f>
        <v>129.60000000000002</v>
      </c>
      <c r="I21" s="5"/>
      <c r="J21" s="5">
        <f>32*1.86*C21*J4</f>
        <v>375.21408000000002</v>
      </c>
      <c r="K21" s="5"/>
      <c r="L21" s="5">
        <f>L4*5.3*12*C21</f>
        <v>2025.0239999999999</v>
      </c>
      <c r="M21" s="5"/>
      <c r="N21" s="5"/>
    </row>
    <row r="22" spans="1:16" x14ac:dyDescent="0.25">
      <c r="A22" s="62"/>
      <c r="B22" s="5" t="s">
        <v>41</v>
      </c>
      <c r="C22" s="5">
        <v>2</v>
      </c>
      <c r="D22" s="5"/>
      <c r="E22" s="5">
        <f t="shared" si="2"/>
        <v>4.0500000000000007</v>
      </c>
      <c r="F22" s="5" t="s">
        <v>52</v>
      </c>
      <c r="G22" s="5">
        <f t="shared" ref="G22:G25" si="3">0.5*0.5*E22*C22</f>
        <v>2.0250000000000004</v>
      </c>
      <c r="H22" s="5">
        <f>0.5*E22*C22*4</f>
        <v>16.200000000000003</v>
      </c>
      <c r="I22" s="5"/>
      <c r="J22" s="5">
        <f>32*1.86*C22*J4</f>
        <v>46.901760000000003</v>
      </c>
      <c r="K22" s="5"/>
      <c r="L22" s="5">
        <f>L4*5.3*12*C22</f>
        <v>253.12799999999999</v>
      </c>
      <c r="M22" s="5"/>
      <c r="N22" s="5"/>
    </row>
    <row r="23" spans="1:16" x14ac:dyDescent="0.25">
      <c r="A23" s="62"/>
      <c r="B23" s="5" t="s">
        <v>39</v>
      </c>
      <c r="C23" s="5">
        <v>40</v>
      </c>
      <c r="D23" s="5"/>
      <c r="E23" s="5">
        <f t="shared" si="2"/>
        <v>4.0500000000000007</v>
      </c>
      <c r="F23" s="5" t="s">
        <v>52</v>
      </c>
      <c r="G23" s="5">
        <f t="shared" si="3"/>
        <v>40.500000000000007</v>
      </c>
      <c r="H23" s="5">
        <f>0.5*E23*C23*4</f>
        <v>324.00000000000006</v>
      </c>
      <c r="I23" s="5"/>
      <c r="J23" s="5">
        <f>J4*C23*(1.86*32+0.535*16)</f>
        <v>1072.9408000000001</v>
      </c>
      <c r="K23" s="5"/>
      <c r="L23" s="5">
        <f>L4*5.3*16*C23</f>
        <v>6750.079999999999</v>
      </c>
      <c r="M23" s="5"/>
      <c r="N23" s="5"/>
      <c r="P23" s="7"/>
    </row>
    <row r="24" spans="1:16" s="7" customFormat="1" x14ac:dyDescent="0.25">
      <c r="A24" s="62"/>
      <c r="B24" s="5" t="s">
        <v>40</v>
      </c>
      <c r="C24" s="5">
        <v>14</v>
      </c>
      <c r="D24" s="5"/>
      <c r="E24" s="5">
        <f t="shared" si="2"/>
        <v>4.0500000000000007</v>
      </c>
      <c r="F24" s="5" t="s">
        <v>52</v>
      </c>
      <c r="G24" s="5">
        <f t="shared" si="3"/>
        <v>14.175000000000002</v>
      </c>
      <c r="H24" s="5">
        <f>0.5*E24*C24*4</f>
        <v>113.40000000000002</v>
      </c>
      <c r="I24" s="5"/>
      <c r="J24" s="5">
        <f>J4*C24*(32*1.86+0.535*16)</f>
        <v>375.52927999999997</v>
      </c>
      <c r="K24" s="5"/>
      <c r="L24" s="5"/>
      <c r="M24" s="5"/>
      <c r="N24" s="5">
        <f>5.3*16*N4*C24</f>
        <v>4571.9071999999996</v>
      </c>
      <c r="P24"/>
    </row>
    <row r="25" spans="1:16" x14ac:dyDescent="0.25">
      <c r="A25" s="62"/>
      <c r="B25" s="5" t="s">
        <v>42</v>
      </c>
      <c r="C25" s="5">
        <v>2</v>
      </c>
      <c r="D25" s="5"/>
      <c r="E25" s="5">
        <f t="shared" si="2"/>
        <v>4.0500000000000007</v>
      </c>
      <c r="F25" s="5" t="s">
        <v>52</v>
      </c>
      <c r="G25" s="5">
        <f t="shared" si="3"/>
        <v>2.0250000000000004</v>
      </c>
      <c r="H25" s="5">
        <f>0.5*E25*C25*4</f>
        <v>16.200000000000003</v>
      </c>
      <c r="I25" s="5"/>
      <c r="J25" s="5">
        <f>J4*C25*(32*1.86+0.535*16)</f>
        <v>53.647040000000004</v>
      </c>
      <c r="K25" s="5"/>
      <c r="L25" s="5">
        <f>L4*5.3*16*C25</f>
        <v>337.50399999999996</v>
      </c>
      <c r="M25" s="5"/>
      <c r="N25" s="5"/>
    </row>
    <row r="26" spans="1:16" x14ac:dyDescent="0.25">
      <c r="A26" s="62"/>
      <c r="B26" s="5" t="s">
        <v>43</v>
      </c>
      <c r="C26" s="5">
        <v>2</v>
      </c>
      <c r="D26" s="5"/>
      <c r="E26" s="5">
        <f t="shared" si="2"/>
        <v>4.0500000000000007</v>
      </c>
      <c r="F26" s="5" t="s">
        <v>51</v>
      </c>
      <c r="G26" s="5">
        <f t="shared" ref="G26:G31" si="4">0.4*0.4*E26*C26</f>
        <v>1.2960000000000005</v>
      </c>
      <c r="H26" s="5">
        <f>0.4*E26*C26*4</f>
        <v>12.960000000000003</v>
      </c>
      <c r="I26" s="5"/>
      <c r="J26" s="5">
        <f>1.46*C26*J4*32</f>
        <v>36.815359999999998</v>
      </c>
      <c r="K26" s="5"/>
      <c r="L26" s="5">
        <f>L4*5.3*12*C26</f>
        <v>253.12799999999999</v>
      </c>
      <c r="M26" s="5"/>
      <c r="N26" s="5"/>
    </row>
    <row r="27" spans="1:16" x14ac:dyDescent="0.25">
      <c r="A27" s="62"/>
      <c r="B27" s="5" t="s">
        <v>44</v>
      </c>
      <c r="C27" s="5">
        <v>6</v>
      </c>
      <c r="D27" s="5"/>
      <c r="E27" s="5">
        <f t="shared" si="2"/>
        <v>4.0500000000000007</v>
      </c>
      <c r="F27" s="5" t="s">
        <v>53</v>
      </c>
      <c r="G27" s="5">
        <f>0.3*0.2*E27*C27</f>
        <v>1.4580000000000002</v>
      </c>
      <c r="H27" s="5">
        <f>0.25*E27*C27*4</f>
        <v>24.300000000000004</v>
      </c>
      <c r="I27" s="5"/>
      <c r="J27" s="5">
        <f>0.86*J4*32*C27</f>
        <v>65.057280000000006</v>
      </c>
      <c r="K27" s="5">
        <f>6*5.3*K4*C27</f>
        <v>230.48639999999995</v>
      </c>
      <c r="L27" s="5"/>
      <c r="M27" s="5"/>
      <c r="N27" s="5"/>
    </row>
    <row r="28" spans="1:16" x14ac:dyDescent="0.25">
      <c r="A28" s="62"/>
      <c r="B28" s="5" t="s">
        <v>45</v>
      </c>
      <c r="C28" s="5">
        <v>5</v>
      </c>
      <c r="D28" s="5"/>
      <c r="E28" s="5">
        <f t="shared" si="2"/>
        <v>4.0500000000000007</v>
      </c>
      <c r="F28" s="5" t="s">
        <v>54</v>
      </c>
      <c r="G28" s="5">
        <f>0.4*0.2*E28*C28</f>
        <v>1.6200000000000006</v>
      </c>
      <c r="H28" s="5">
        <f>0.3*E28*C28*4</f>
        <v>24.3</v>
      </c>
      <c r="I28" s="5"/>
      <c r="J28" s="5">
        <f>1.06*J4*32*C28</f>
        <v>66.822400000000002</v>
      </c>
      <c r="K28" s="5"/>
      <c r="L28" s="5">
        <f>6*5.3*L4*C28</f>
        <v>316.40999999999997</v>
      </c>
      <c r="M28" s="5"/>
      <c r="N28" s="5"/>
    </row>
    <row r="29" spans="1:16" x14ac:dyDescent="0.25">
      <c r="A29" s="62"/>
      <c r="B29" s="5" t="s">
        <v>49</v>
      </c>
      <c r="C29" s="5">
        <v>2</v>
      </c>
      <c r="D29" s="5"/>
      <c r="E29" s="5">
        <f t="shared" si="2"/>
        <v>4.0500000000000007</v>
      </c>
      <c r="F29" s="5" t="s">
        <v>54</v>
      </c>
      <c r="G29" s="5">
        <f>0.4*0.2*E29*C29</f>
        <v>0.64800000000000024</v>
      </c>
      <c r="H29" s="5">
        <f>0.3*E29*C29*4</f>
        <v>9.7200000000000006</v>
      </c>
      <c r="I29" s="5"/>
      <c r="J29" s="5">
        <f>1.06*J4*32*C29</f>
        <v>26.728960000000001</v>
      </c>
      <c r="K29" s="5"/>
      <c r="L29" s="5">
        <f>6*5.3*L4*C29</f>
        <v>126.56399999999999</v>
      </c>
      <c r="M29" s="5"/>
      <c r="N29" s="5"/>
    </row>
    <row r="30" spans="1:16" x14ac:dyDescent="0.25">
      <c r="A30" s="62"/>
      <c r="B30" s="5" t="s">
        <v>46</v>
      </c>
      <c r="C30" s="5">
        <v>8</v>
      </c>
      <c r="D30" s="5"/>
      <c r="E30" s="5">
        <f t="shared" si="2"/>
        <v>4.0500000000000007</v>
      </c>
      <c r="F30" s="5" t="s">
        <v>62</v>
      </c>
      <c r="G30" s="5">
        <f>0.3*0.3*E30*C30</f>
        <v>2.9160000000000004</v>
      </c>
      <c r="H30" s="5">
        <f>0.3*E30*C30*4</f>
        <v>38.880000000000003</v>
      </c>
      <c r="I30" s="5"/>
      <c r="J30" s="5">
        <f>1.06*J4*32*C30</f>
        <v>106.91584</v>
      </c>
      <c r="K30" s="5"/>
      <c r="L30" s="5">
        <f>8*5.3*L4*C30</f>
        <v>675.00799999999992</v>
      </c>
      <c r="M30" s="5"/>
      <c r="N30" s="5"/>
    </row>
    <row r="31" spans="1:16" x14ac:dyDescent="0.25">
      <c r="A31" s="63"/>
      <c r="B31" s="5" t="s">
        <v>47</v>
      </c>
      <c r="C31" s="5">
        <v>6</v>
      </c>
      <c r="D31" s="5"/>
      <c r="E31" s="5">
        <f t="shared" si="2"/>
        <v>4.0500000000000007</v>
      </c>
      <c r="F31" s="5" t="s">
        <v>51</v>
      </c>
      <c r="G31" s="5">
        <f t="shared" si="4"/>
        <v>3.8880000000000017</v>
      </c>
      <c r="H31" s="5">
        <f>0.4*E31*C31*4</f>
        <v>38.88000000000001</v>
      </c>
      <c r="I31" s="5"/>
      <c r="J31" s="5">
        <f>1.46*C31*J4*32</f>
        <v>110.44608000000001</v>
      </c>
      <c r="K31" s="5">
        <f>K4*5.3*12*C31</f>
        <v>460.97279999999989</v>
      </c>
      <c r="L31" s="5"/>
      <c r="M31" s="5"/>
      <c r="N31" s="5"/>
    </row>
    <row r="32" spans="1:16" x14ac:dyDescent="0.25">
      <c r="A32" s="64">
        <v>6.3</v>
      </c>
      <c r="B32" s="5" t="s">
        <v>63</v>
      </c>
      <c r="C32" s="5"/>
      <c r="D32" s="5"/>
      <c r="E32" s="5"/>
      <c r="F32" s="59"/>
      <c r="G32" s="59"/>
      <c r="H32" s="59"/>
      <c r="I32" s="59"/>
      <c r="J32" s="59"/>
      <c r="K32" s="59"/>
      <c r="L32" s="59"/>
      <c r="M32" s="59"/>
      <c r="N32" s="60"/>
      <c r="P32" s="7"/>
    </row>
    <row r="33" spans="1:18" s="7" customFormat="1" x14ac:dyDescent="0.25">
      <c r="A33" s="62"/>
      <c r="B33" s="5" t="s">
        <v>37</v>
      </c>
      <c r="C33" s="5">
        <v>22</v>
      </c>
      <c r="D33" s="5"/>
      <c r="E33" s="5">
        <f>4.05-0.6</f>
        <v>3.4499999999999997</v>
      </c>
      <c r="F33" s="5" t="s">
        <v>51</v>
      </c>
      <c r="G33" s="5">
        <f>0.4*0.4*E33*C33</f>
        <v>12.144000000000002</v>
      </c>
      <c r="H33" s="5">
        <f>0.4*E33*C33*4</f>
        <v>121.44</v>
      </c>
      <c r="I33" s="5"/>
      <c r="J33" s="5">
        <f>1.46*C33*J4*29</f>
        <v>367.00311999999997</v>
      </c>
      <c r="K33" s="5">
        <f>K4*4.55*12*C33</f>
        <v>1451.0495999999998</v>
      </c>
      <c r="L33" s="5"/>
      <c r="M33" s="5"/>
      <c r="N33" s="5"/>
      <c r="P33"/>
    </row>
    <row r="34" spans="1:18" x14ac:dyDescent="0.25">
      <c r="A34" s="62"/>
      <c r="B34" s="5" t="s">
        <v>38</v>
      </c>
      <c r="C34" s="5">
        <v>16</v>
      </c>
      <c r="D34" s="5"/>
      <c r="E34" s="5">
        <f t="shared" ref="E34:E42" si="5">4.05-0.6</f>
        <v>3.4499999999999997</v>
      </c>
      <c r="F34" s="5" t="s">
        <v>51</v>
      </c>
      <c r="G34" s="5">
        <f>0.4*0.4*E34*C34</f>
        <v>8.8320000000000007</v>
      </c>
      <c r="H34" s="5">
        <f>0.4*E34*C34*4</f>
        <v>88.32</v>
      </c>
      <c r="I34" s="5"/>
      <c r="J34" s="5">
        <f>29*1.46*C34*J4</f>
        <v>266.91136</v>
      </c>
      <c r="K34" s="5"/>
      <c r="L34" s="5">
        <f>L4*4.55*12*C34</f>
        <v>1738.4639999999999</v>
      </c>
      <c r="M34" s="5"/>
      <c r="N34" s="5"/>
      <c r="P34" s="2"/>
    </row>
    <row r="35" spans="1:18" s="2" customFormat="1" x14ac:dyDescent="0.25">
      <c r="A35" s="62"/>
      <c r="B35" s="5" t="s">
        <v>41</v>
      </c>
      <c r="C35" s="5">
        <v>2</v>
      </c>
      <c r="D35" s="5"/>
      <c r="E35" s="5">
        <f t="shared" si="5"/>
        <v>3.4499999999999997</v>
      </c>
      <c r="F35" s="5" t="s">
        <v>51</v>
      </c>
      <c r="G35" s="5">
        <f>0.4*0.4*E35*C35</f>
        <v>1.1040000000000001</v>
      </c>
      <c r="H35" s="5">
        <f>0.4*E35*C35*4</f>
        <v>11.04</v>
      </c>
      <c r="I35" s="5"/>
      <c r="J35" s="5">
        <f>29*1.46*C35*J4</f>
        <v>33.36392</v>
      </c>
      <c r="K35" s="5"/>
      <c r="L35" s="5">
        <f>L4*4.55*12*C35</f>
        <v>217.30799999999999</v>
      </c>
      <c r="M35" s="5"/>
      <c r="N35" s="5"/>
      <c r="P35"/>
    </row>
    <row r="36" spans="1:18" x14ac:dyDescent="0.25">
      <c r="A36" s="62"/>
      <c r="B36" s="5" t="s">
        <v>39</v>
      </c>
      <c r="C36" s="5">
        <v>40</v>
      </c>
      <c r="D36" s="5"/>
      <c r="E36" s="5">
        <f t="shared" si="5"/>
        <v>3.4499999999999997</v>
      </c>
      <c r="F36" s="5" t="s">
        <v>51</v>
      </c>
      <c r="G36" s="5">
        <f>0.4*0.4*E36*C36</f>
        <v>22.080000000000002</v>
      </c>
      <c r="H36" s="5">
        <f>0.4*E36*C36*4</f>
        <v>220.79999999999998</v>
      </c>
      <c r="I36" s="5"/>
      <c r="J36" s="5">
        <f>J4*C36*1.46*29</f>
        <v>667.27840000000003</v>
      </c>
      <c r="K36" s="5"/>
      <c r="L36" s="5">
        <f>L4*4.55*12*C36</f>
        <v>4346.16</v>
      </c>
      <c r="M36" s="5"/>
      <c r="N36" s="5"/>
      <c r="P36" s="7"/>
    </row>
    <row r="37" spans="1:18" s="7" customFormat="1" x14ac:dyDescent="0.25">
      <c r="A37" s="62"/>
      <c r="B37" s="5" t="s">
        <v>40</v>
      </c>
      <c r="C37" s="5">
        <v>14</v>
      </c>
      <c r="D37" s="5"/>
      <c r="E37" s="5">
        <f t="shared" si="5"/>
        <v>3.4499999999999997</v>
      </c>
      <c r="F37" s="5" t="s">
        <v>52</v>
      </c>
      <c r="G37" s="5">
        <f t="shared" ref="G37" si="6">0.5*0.5*E37*C37</f>
        <v>12.074999999999999</v>
      </c>
      <c r="H37" s="5">
        <f>0.5*E37*C37*4</f>
        <v>96.6</v>
      </c>
      <c r="I37" s="5"/>
      <c r="J37" s="5">
        <f>J4*C37*(29*1.86+0.535*29)</f>
        <v>383.11378000000008</v>
      </c>
      <c r="K37" s="5"/>
      <c r="L37" s="5"/>
      <c r="M37" s="5">
        <f>4.55*16*M4*C37</f>
        <v>3040.2736</v>
      </c>
      <c r="N37" s="5"/>
      <c r="P37"/>
    </row>
    <row r="38" spans="1:18" x14ac:dyDescent="0.25">
      <c r="A38" s="62"/>
      <c r="B38" s="5" t="s">
        <v>42</v>
      </c>
      <c r="C38" s="5">
        <v>2</v>
      </c>
      <c r="D38" s="5"/>
      <c r="E38" s="5">
        <f t="shared" si="5"/>
        <v>3.4499999999999997</v>
      </c>
      <c r="F38" s="5" t="s">
        <v>51</v>
      </c>
      <c r="G38" s="5">
        <f>0.4*0.4*E38*C38</f>
        <v>1.1040000000000001</v>
      </c>
      <c r="H38" s="5">
        <f>0.4*E38*C38*4</f>
        <v>11.04</v>
      </c>
      <c r="I38" s="5"/>
      <c r="J38" s="5">
        <f>J4*C38*29*1.46</f>
        <v>33.36392</v>
      </c>
      <c r="K38" s="5"/>
      <c r="L38" s="5">
        <f>L4*4.55*16*C38</f>
        <v>289.74399999999997</v>
      </c>
      <c r="M38" s="5"/>
      <c r="N38" s="5"/>
    </row>
    <row r="39" spans="1:18" x14ac:dyDescent="0.25">
      <c r="A39" s="62"/>
      <c r="B39" s="5" t="s">
        <v>43</v>
      </c>
      <c r="C39" s="5">
        <v>2</v>
      </c>
      <c r="D39" s="5"/>
      <c r="E39" s="5">
        <f t="shared" si="5"/>
        <v>3.4499999999999997</v>
      </c>
      <c r="F39" s="5" t="s">
        <v>51</v>
      </c>
      <c r="G39" s="5">
        <f t="shared" ref="G39" si="7">0.4*0.4*E39*C39</f>
        <v>1.1040000000000001</v>
      </c>
      <c r="H39" s="5">
        <f>0.4*E39*C39*4</f>
        <v>11.04</v>
      </c>
      <c r="I39" s="5"/>
      <c r="J39" s="5">
        <f>1.46*C39*J4*39</f>
        <v>44.868719999999996</v>
      </c>
      <c r="K39" s="5"/>
      <c r="L39" s="5">
        <f>L4*4.55*12*C39</f>
        <v>217.30799999999999</v>
      </c>
      <c r="M39" s="5"/>
      <c r="N39" s="5"/>
      <c r="P39" s="7"/>
      <c r="R39" s="7"/>
    </row>
    <row r="40" spans="1:18" s="7" customFormat="1" x14ac:dyDescent="0.25">
      <c r="A40" s="62"/>
      <c r="B40" s="5" t="s">
        <v>44</v>
      </c>
      <c r="C40" s="5">
        <v>6</v>
      </c>
      <c r="D40" s="5"/>
      <c r="E40" s="5">
        <f t="shared" si="5"/>
        <v>3.4499999999999997</v>
      </c>
      <c r="F40" s="5" t="s">
        <v>53</v>
      </c>
      <c r="G40" s="5">
        <f>0.3*0.2*E40*C40</f>
        <v>1.242</v>
      </c>
      <c r="H40" s="5">
        <f>0.25*E40*C40*4</f>
        <v>20.7</v>
      </c>
      <c r="I40" s="5"/>
      <c r="J40" s="5">
        <f>0.86*J4*29*C40</f>
        <v>58.958160000000007</v>
      </c>
      <c r="K40" s="5">
        <f>6*4.55*K4*C40</f>
        <v>197.87039999999996</v>
      </c>
      <c r="L40" s="5"/>
      <c r="M40" s="5"/>
      <c r="N40" s="5"/>
    </row>
    <row r="41" spans="1:18" s="7" customFormat="1" x14ac:dyDescent="0.25">
      <c r="A41" s="62"/>
      <c r="B41" s="5" t="s">
        <v>45</v>
      </c>
      <c r="C41" s="5">
        <v>5</v>
      </c>
      <c r="D41" s="5"/>
      <c r="E41" s="5">
        <f t="shared" si="5"/>
        <v>3.4499999999999997</v>
      </c>
      <c r="F41" s="5" t="s">
        <v>54</v>
      </c>
      <c r="G41" s="5">
        <f>0.4*0.2*E41*C41</f>
        <v>1.3800000000000001</v>
      </c>
      <c r="H41" s="5">
        <f>0.3*E41*C41*4</f>
        <v>20.7</v>
      </c>
      <c r="I41" s="5"/>
      <c r="J41" s="5">
        <f>1.06*J4*29*C41</f>
        <v>60.5578</v>
      </c>
      <c r="K41" s="5">
        <f>6*4.55*K4*C41</f>
        <v>164.89199999999997</v>
      </c>
      <c r="L41" s="5"/>
      <c r="M41" s="5"/>
      <c r="N41" s="5"/>
    </row>
    <row r="42" spans="1:18" s="7" customFormat="1" x14ac:dyDescent="0.25">
      <c r="A42" s="63"/>
      <c r="B42" s="5" t="s">
        <v>49</v>
      </c>
      <c r="C42" s="5">
        <v>2</v>
      </c>
      <c r="D42" s="5"/>
      <c r="E42" s="5">
        <f t="shared" si="5"/>
        <v>3.4499999999999997</v>
      </c>
      <c r="F42" s="5" t="s">
        <v>54</v>
      </c>
      <c r="G42" s="5">
        <f>0.4*0.2*E42*C42</f>
        <v>0.55200000000000005</v>
      </c>
      <c r="H42" s="5">
        <f>0.3*E42*C42*4</f>
        <v>8.2799999999999994</v>
      </c>
      <c r="I42" s="5"/>
      <c r="J42" s="5">
        <f>1.06*J4*29*C42</f>
        <v>24.223120000000002</v>
      </c>
      <c r="K42" s="5">
        <f>6*4.55*K4*C42</f>
        <v>65.956799999999987</v>
      </c>
      <c r="L42" s="5"/>
      <c r="M42" s="5"/>
      <c r="N42" s="5"/>
    </row>
    <row r="43" spans="1:18" s="7" customFormat="1" x14ac:dyDescent="0.25">
      <c r="A43" s="106">
        <v>6.4</v>
      </c>
      <c r="B43" s="1" t="s">
        <v>64</v>
      </c>
      <c r="C43" s="1"/>
      <c r="D43" s="1"/>
      <c r="E43" s="1"/>
      <c r="F43" s="107"/>
      <c r="G43" s="107"/>
      <c r="H43" s="107"/>
      <c r="I43" s="107"/>
      <c r="J43" s="107"/>
      <c r="K43" s="107"/>
      <c r="L43" s="107"/>
      <c r="M43" s="107"/>
      <c r="N43" s="108"/>
    </row>
    <row r="44" spans="1:18" s="7" customFormat="1" x14ac:dyDescent="0.25">
      <c r="A44" s="109"/>
      <c r="B44" s="1" t="s">
        <v>37</v>
      </c>
      <c r="C44" s="1">
        <v>22</v>
      </c>
      <c r="D44" s="1"/>
      <c r="E44" s="1">
        <f>4.05-0.6</f>
        <v>3.4499999999999997</v>
      </c>
      <c r="F44" s="1" t="s">
        <v>51</v>
      </c>
      <c r="G44" s="1">
        <f>0.4*0.4*E44*C44</f>
        <v>12.144000000000002</v>
      </c>
      <c r="H44" s="1">
        <f>0.4*E44*C44*4</f>
        <v>121.44</v>
      </c>
      <c r="I44" s="1"/>
      <c r="J44" s="1">
        <f>1.46*C44*J4*29</f>
        <v>367.00311999999997</v>
      </c>
      <c r="K44" s="1">
        <f>K4*4.55*12*C44</f>
        <v>1451.0495999999998</v>
      </c>
      <c r="L44" s="1"/>
      <c r="M44" s="1"/>
      <c r="N44" s="1"/>
    </row>
    <row r="45" spans="1:18" s="7" customFormat="1" x14ac:dyDescent="0.25">
      <c r="A45" s="109"/>
      <c r="B45" s="1" t="s">
        <v>38</v>
      </c>
      <c r="C45" s="1">
        <v>16</v>
      </c>
      <c r="D45" s="1"/>
      <c r="E45" s="1">
        <f t="shared" ref="E45:E53" si="8">4.05-0.6</f>
        <v>3.4499999999999997</v>
      </c>
      <c r="F45" s="1" t="s">
        <v>51</v>
      </c>
      <c r="G45" s="1">
        <f>0.4*0.4*E45*C45</f>
        <v>8.8320000000000007</v>
      </c>
      <c r="H45" s="1">
        <f>0.4*E45*C45*4</f>
        <v>88.32</v>
      </c>
      <c r="I45" s="1"/>
      <c r="J45" s="1">
        <f>29*1.46*C45*J4</f>
        <v>266.91136</v>
      </c>
      <c r="K45" s="1"/>
      <c r="L45" s="1">
        <f>L4*4.55*12*C45</f>
        <v>1738.4639999999999</v>
      </c>
      <c r="M45" s="1"/>
      <c r="N45" s="1"/>
    </row>
    <row r="46" spans="1:18" s="7" customFormat="1" x14ac:dyDescent="0.25">
      <c r="A46" s="109"/>
      <c r="B46" s="1" t="s">
        <v>41</v>
      </c>
      <c r="C46" s="1">
        <v>2</v>
      </c>
      <c r="D46" s="1"/>
      <c r="E46" s="1">
        <f t="shared" si="8"/>
        <v>3.4499999999999997</v>
      </c>
      <c r="F46" s="1" t="s">
        <v>51</v>
      </c>
      <c r="G46" s="1">
        <f>0.4*0.4*E46*C46</f>
        <v>1.1040000000000001</v>
      </c>
      <c r="H46" s="1">
        <f>0.4*E46*C46*4</f>
        <v>11.04</v>
      </c>
      <c r="I46" s="1"/>
      <c r="J46" s="1">
        <f>29*1.46*C46*J4</f>
        <v>33.36392</v>
      </c>
      <c r="K46" s="1"/>
      <c r="L46" s="1">
        <f>L4*4.55*12*C46</f>
        <v>217.30799999999999</v>
      </c>
      <c r="M46" s="1"/>
      <c r="N46" s="1"/>
    </row>
    <row r="47" spans="1:18" s="7" customFormat="1" x14ac:dyDescent="0.25">
      <c r="A47" s="109"/>
      <c r="B47" s="1" t="s">
        <v>39</v>
      </c>
      <c r="C47" s="1">
        <v>40</v>
      </c>
      <c r="D47" s="1"/>
      <c r="E47" s="1">
        <f t="shared" si="8"/>
        <v>3.4499999999999997</v>
      </c>
      <c r="F47" s="1" t="s">
        <v>51</v>
      </c>
      <c r="G47" s="1">
        <f>0.4*0.4*E47*C47</f>
        <v>22.080000000000002</v>
      </c>
      <c r="H47" s="1">
        <f>0.4*E47*C47*4</f>
        <v>220.79999999999998</v>
      </c>
      <c r="I47" s="1"/>
      <c r="J47" s="1">
        <f>J4*C47*1.46*29</f>
        <v>667.27840000000003</v>
      </c>
      <c r="K47" s="1"/>
      <c r="L47" s="1">
        <f>L4*4.55*12*C47</f>
        <v>4346.16</v>
      </c>
      <c r="M47" s="1"/>
      <c r="N47" s="1"/>
    </row>
    <row r="48" spans="1:18" s="7" customFormat="1" x14ac:dyDescent="0.25">
      <c r="A48" s="109"/>
      <c r="B48" s="1" t="s">
        <v>40</v>
      </c>
      <c r="C48" s="1">
        <v>14</v>
      </c>
      <c r="D48" s="1"/>
      <c r="E48" s="1">
        <f t="shared" si="8"/>
        <v>3.4499999999999997</v>
      </c>
      <c r="F48" s="1" t="s">
        <v>52</v>
      </c>
      <c r="G48" s="1">
        <f t="shared" ref="G48" si="9">0.5*0.5*E48*C48</f>
        <v>12.074999999999999</v>
      </c>
      <c r="H48" s="1">
        <f>0.5*E48*C48*4</f>
        <v>96.6</v>
      </c>
      <c r="I48" s="1"/>
      <c r="J48" s="1">
        <f>J4*C48*(29*1.86+0.535*29)</f>
        <v>383.11378000000008</v>
      </c>
      <c r="K48" s="1"/>
      <c r="L48" s="1"/>
      <c r="M48" s="1">
        <f>4.55*16*M4*C48</f>
        <v>3040.2736</v>
      </c>
      <c r="N48" s="1"/>
    </row>
    <row r="49" spans="1:16" s="7" customFormat="1" x14ac:dyDescent="0.25">
      <c r="A49" s="109"/>
      <c r="B49" s="1" t="s">
        <v>42</v>
      </c>
      <c r="C49" s="1">
        <v>2</v>
      </c>
      <c r="D49" s="1"/>
      <c r="E49" s="1">
        <f t="shared" si="8"/>
        <v>3.4499999999999997</v>
      </c>
      <c r="F49" s="1" t="s">
        <v>51</v>
      </c>
      <c r="G49" s="1">
        <f>0.4*0.4*E49*C49</f>
        <v>1.1040000000000001</v>
      </c>
      <c r="H49" s="1">
        <f>0.4*E49*C49*4</f>
        <v>11.04</v>
      </c>
      <c r="I49" s="1"/>
      <c r="J49" s="1">
        <f>J4*C49*29*1.46</f>
        <v>33.36392</v>
      </c>
      <c r="K49" s="1"/>
      <c r="L49" s="1">
        <f>L4*4.55*16*C49</f>
        <v>289.74399999999997</v>
      </c>
      <c r="M49" s="1"/>
      <c r="N49" s="1"/>
    </row>
    <row r="50" spans="1:16" s="7" customFormat="1" x14ac:dyDescent="0.25">
      <c r="A50" s="109"/>
      <c r="B50" s="1" t="s">
        <v>43</v>
      </c>
      <c r="C50" s="1">
        <v>2</v>
      </c>
      <c r="D50" s="1"/>
      <c r="E50" s="1">
        <f t="shared" si="8"/>
        <v>3.4499999999999997</v>
      </c>
      <c r="F50" s="1" t="s">
        <v>51</v>
      </c>
      <c r="G50" s="1">
        <f t="shared" ref="G50" si="10">0.4*0.4*E50*C50</f>
        <v>1.1040000000000001</v>
      </c>
      <c r="H50" s="1">
        <f>0.4*E50*C50*4</f>
        <v>11.04</v>
      </c>
      <c r="I50" s="1"/>
      <c r="J50" s="1">
        <f>1.46*C50*J4*29</f>
        <v>33.36392</v>
      </c>
      <c r="K50" s="1"/>
      <c r="L50" s="1">
        <f>L4*4.55*12*C50</f>
        <v>217.30799999999999</v>
      </c>
      <c r="M50" s="1"/>
      <c r="N50" s="1"/>
    </row>
    <row r="51" spans="1:16" s="7" customFormat="1" x14ac:dyDescent="0.25">
      <c r="A51" s="109"/>
      <c r="B51" s="1" t="s">
        <v>44</v>
      </c>
      <c r="C51" s="1">
        <v>6</v>
      </c>
      <c r="D51" s="1"/>
      <c r="E51" s="1">
        <f t="shared" si="8"/>
        <v>3.4499999999999997</v>
      </c>
      <c r="F51" s="1" t="s">
        <v>53</v>
      </c>
      <c r="G51" s="1">
        <f>0.3*0.2*E51*C51</f>
        <v>1.242</v>
      </c>
      <c r="H51" s="1">
        <f>0.25*E51*C51*4</f>
        <v>20.7</v>
      </c>
      <c r="I51" s="1"/>
      <c r="J51" s="1">
        <f>0.86*J4*29*C51</f>
        <v>58.958160000000007</v>
      </c>
      <c r="K51" s="1">
        <f>6*4.55*K4*C51</f>
        <v>197.87039999999996</v>
      </c>
      <c r="L51" s="1"/>
      <c r="M51" s="1"/>
      <c r="N51" s="1"/>
    </row>
    <row r="52" spans="1:16" s="7" customFormat="1" x14ac:dyDescent="0.25">
      <c r="A52" s="109"/>
      <c r="B52" s="1" t="s">
        <v>45</v>
      </c>
      <c r="C52" s="1">
        <v>5</v>
      </c>
      <c r="D52" s="1"/>
      <c r="E52" s="1">
        <f t="shared" si="8"/>
        <v>3.4499999999999997</v>
      </c>
      <c r="F52" s="1" t="s">
        <v>54</v>
      </c>
      <c r="G52" s="1">
        <f>0.4*0.2*E52*C52</f>
        <v>1.3800000000000001</v>
      </c>
      <c r="H52" s="1">
        <f>0.3*E52*C52*4</f>
        <v>20.7</v>
      </c>
      <c r="I52" s="1"/>
      <c r="J52" s="1">
        <f>1.06*J4*29*C52</f>
        <v>60.5578</v>
      </c>
      <c r="K52" s="1">
        <f>6*4.55*K4*C52</f>
        <v>164.89199999999997</v>
      </c>
      <c r="L52" s="1"/>
      <c r="M52" s="1"/>
      <c r="N52" s="1"/>
    </row>
    <row r="53" spans="1:16" s="7" customFormat="1" x14ac:dyDescent="0.25">
      <c r="A53" s="110"/>
      <c r="B53" s="1" t="s">
        <v>49</v>
      </c>
      <c r="C53" s="1">
        <v>2</v>
      </c>
      <c r="D53" s="1"/>
      <c r="E53" s="1">
        <f t="shared" si="8"/>
        <v>3.4499999999999997</v>
      </c>
      <c r="F53" s="1" t="s">
        <v>54</v>
      </c>
      <c r="G53" s="1">
        <f>0.4*0.2*E53*C53</f>
        <v>0.55200000000000005</v>
      </c>
      <c r="H53" s="1">
        <f>0.3*E53*C53*4</f>
        <v>8.2799999999999994</v>
      </c>
      <c r="I53" s="1"/>
      <c r="J53" s="1">
        <f>1.06*J4*29*C53</f>
        <v>24.223120000000002</v>
      </c>
      <c r="K53" s="1">
        <f>6*4.05*K4*C53</f>
        <v>58.708799999999989</v>
      </c>
      <c r="L53" s="1"/>
      <c r="M53" s="1"/>
      <c r="N53" s="1"/>
    </row>
    <row r="54" spans="1:16" s="7" customFormat="1" x14ac:dyDescent="0.25">
      <c r="A54" s="106">
        <v>6.5</v>
      </c>
      <c r="B54" s="1" t="s">
        <v>65</v>
      </c>
      <c r="C54" s="1"/>
      <c r="D54" s="1"/>
      <c r="E54" s="1"/>
      <c r="F54" s="107"/>
      <c r="G54" s="107"/>
      <c r="H54" s="107"/>
      <c r="I54" s="107"/>
      <c r="J54" s="107"/>
      <c r="K54" s="107"/>
      <c r="L54" s="107"/>
      <c r="M54" s="107"/>
      <c r="N54" s="108"/>
    </row>
    <row r="55" spans="1:16" s="7" customFormat="1" x14ac:dyDescent="0.25">
      <c r="A55" s="109"/>
      <c r="B55" s="1" t="s">
        <v>37</v>
      </c>
      <c r="C55" s="1">
        <v>22</v>
      </c>
      <c r="D55" s="1"/>
      <c r="E55" s="1">
        <f>4.05-0.6</f>
        <v>3.4499999999999997</v>
      </c>
      <c r="F55" s="1" t="s">
        <v>51</v>
      </c>
      <c r="G55" s="1">
        <f>0.4*0.4*E55*C55</f>
        <v>12.144000000000002</v>
      </c>
      <c r="H55" s="1">
        <f>0.4*E55*C55*4</f>
        <v>121.44</v>
      </c>
      <c r="I55" s="1"/>
      <c r="J55" s="1">
        <f>1.46*C55*J4*29</f>
        <v>367.00311999999997</v>
      </c>
      <c r="K55" s="1">
        <f>K4*4.55*12*C55</f>
        <v>1451.0495999999998</v>
      </c>
      <c r="L55" s="1"/>
      <c r="M55" s="1"/>
      <c r="N55" s="1"/>
    </row>
    <row r="56" spans="1:16" s="7" customFormat="1" x14ac:dyDescent="0.25">
      <c r="A56" s="109"/>
      <c r="B56" s="1" t="s">
        <v>38</v>
      </c>
      <c r="C56" s="1">
        <v>16</v>
      </c>
      <c r="D56" s="1"/>
      <c r="E56" s="1">
        <f t="shared" ref="E56:E63" si="11">4.05-0.6</f>
        <v>3.4499999999999997</v>
      </c>
      <c r="F56" s="1" t="s">
        <v>51</v>
      </c>
      <c r="G56" s="1">
        <f>0.4*0.4*E56*C56</f>
        <v>8.8320000000000007</v>
      </c>
      <c r="H56" s="1">
        <f>0.4*E56*C56*4</f>
        <v>88.32</v>
      </c>
      <c r="I56" s="1"/>
      <c r="J56" s="1">
        <f>29*1.46*C56*J4</f>
        <v>266.91136</v>
      </c>
      <c r="K56" s="1">
        <f>K4*4.55*12*C56</f>
        <v>1055.3087999999998</v>
      </c>
      <c r="L56" s="1"/>
      <c r="M56" s="1"/>
      <c r="N56" s="1"/>
    </row>
    <row r="57" spans="1:16" s="7" customFormat="1" x14ac:dyDescent="0.25">
      <c r="A57" s="109"/>
      <c r="B57" s="1" t="s">
        <v>41</v>
      </c>
      <c r="C57" s="1">
        <v>2</v>
      </c>
      <c r="D57" s="1"/>
      <c r="E57" s="1">
        <f t="shared" si="11"/>
        <v>3.4499999999999997</v>
      </c>
      <c r="F57" s="1" t="s">
        <v>51</v>
      </c>
      <c r="G57" s="1">
        <f>0.4*0.4*E57*C57</f>
        <v>1.1040000000000001</v>
      </c>
      <c r="H57" s="1">
        <f>0.4*E57*C57*4</f>
        <v>11.04</v>
      </c>
      <c r="I57" s="1"/>
      <c r="J57" s="1">
        <f>29*1.46*C57*J4</f>
        <v>33.36392</v>
      </c>
      <c r="K57" s="1">
        <f>K4*4.55*12*C57</f>
        <v>131.91359999999997</v>
      </c>
      <c r="L57" s="1"/>
      <c r="M57" s="1"/>
      <c r="N57" s="1"/>
    </row>
    <row r="58" spans="1:16" s="7" customFormat="1" x14ac:dyDescent="0.25">
      <c r="A58" s="109"/>
      <c r="B58" s="1" t="s">
        <v>39</v>
      </c>
      <c r="C58" s="1">
        <v>40</v>
      </c>
      <c r="D58" s="1"/>
      <c r="E58" s="1">
        <f t="shared" si="11"/>
        <v>3.4499999999999997</v>
      </c>
      <c r="F58" s="1" t="s">
        <v>51</v>
      </c>
      <c r="G58" s="1">
        <f>0.4*0.4*E58*C58</f>
        <v>22.080000000000002</v>
      </c>
      <c r="H58" s="1">
        <f>0.4*E58*C58*4</f>
        <v>220.79999999999998</v>
      </c>
      <c r="I58" s="1"/>
      <c r="J58" s="1">
        <f>J4*C58*1.46*29</f>
        <v>667.27840000000003</v>
      </c>
      <c r="K58" s="1">
        <f>K4*4.05*12*C58</f>
        <v>2348.3519999999999</v>
      </c>
      <c r="L58" s="1"/>
      <c r="M58" s="1"/>
      <c r="N58" s="1"/>
    </row>
    <row r="59" spans="1:16" s="7" customFormat="1" x14ac:dyDescent="0.25">
      <c r="A59" s="109"/>
      <c r="B59" s="1" t="s">
        <v>40</v>
      </c>
      <c r="C59" s="1">
        <v>14</v>
      </c>
      <c r="D59" s="1"/>
      <c r="E59" s="1">
        <f t="shared" si="11"/>
        <v>3.4499999999999997</v>
      </c>
      <c r="F59" s="1" t="s">
        <v>52</v>
      </c>
      <c r="G59" s="1">
        <f t="shared" ref="G59" si="12">0.5*0.5*E59*C59</f>
        <v>12.074999999999999</v>
      </c>
      <c r="H59" s="1">
        <f>0.5*E59*C59*4</f>
        <v>96.6</v>
      </c>
      <c r="I59" s="1"/>
      <c r="J59" s="1">
        <f>J4*C59*(29*1.86+0.535*29)</f>
        <v>383.11378000000008</v>
      </c>
      <c r="K59" s="1"/>
      <c r="L59" s="1"/>
      <c r="M59" s="1">
        <f>4.55*16*M4*C59</f>
        <v>3040.2736</v>
      </c>
      <c r="N59" s="1"/>
    </row>
    <row r="60" spans="1:16" s="7" customFormat="1" x14ac:dyDescent="0.25">
      <c r="A60" s="109"/>
      <c r="B60" s="1" t="s">
        <v>42</v>
      </c>
      <c r="C60" s="1">
        <v>2</v>
      </c>
      <c r="D60" s="1"/>
      <c r="E60" s="1">
        <f t="shared" si="11"/>
        <v>3.4499999999999997</v>
      </c>
      <c r="F60" s="1" t="s">
        <v>51</v>
      </c>
      <c r="G60" s="1">
        <f>0.4*0.4*E60*C60</f>
        <v>1.1040000000000001</v>
      </c>
      <c r="H60" s="1">
        <f>0.4*E60*C60*4</f>
        <v>11.04</v>
      </c>
      <c r="I60" s="1"/>
      <c r="J60" s="1">
        <f>J4*C60*29*1.46</f>
        <v>33.36392</v>
      </c>
      <c r="K60" s="1">
        <f>K4*4.55*16*C60</f>
        <v>175.88479999999998</v>
      </c>
      <c r="L60" s="1"/>
      <c r="M60" s="1"/>
      <c r="N60" s="1"/>
    </row>
    <row r="61" spans="1:16" s="7" customFormat="1" x14ac:dyDescent="0.25">
      <c r="A61" s="109"/>
      <c r="B61" s="1" t="s">
        <v>43</v>
      </c>
      <c r="C61" s="1">
        <v>2</v>
      </c>
      <c r="D61" s="1"/>
      <c r="E61" s="1">
        <f t="shared" si="11"/>
        <v>3.4499999999999997</v>
      </c>
      <c r="F61" s="1" t="s">
        <v>51</v>
      </c>
      <c r="G61" s="1">
        <f t="shared" ref="G61" si="13">0.4*0.4*E61*C61</f>
        <v>1.1040000000000001</v>
      </c>
      <c r="H61" s="1">
        <f>0.4*E61*C61*4</f>
        <v>11.04</v>
      </c>
      <c r="I61" s="1"/>
      <c r="J61" s="1">
        <f>1.46*C61*J4*29</f>
        <v>33.36392</v>
      </c>
      <c r="K61" s="1">
        <f>K4*4.55*12*C61</f>
        <v>131.91359999999997</v>
      </c>
      <c r="L61" s="1"/>
      <c r="M61" s="1"/>
      <c r="N61" s="1"/>
    </row>
    <row r="62" spans="1:16" s="7" customFormat="1" x14ac:dyDescent="0.25">
      <c r="A62" s="109"/>
      <c r="B62" s="1" t="s">
        <v>44</v>
      </c>
      <c r="C62" s="1">
        <v>6</v>
      </c>
      <c r="D62" s="1"/>
      <c r="E62" s="1">
        <f t="shared" si="11"/>
        <v>3.4499999999999997</v>
      </c>
      <c r="F62" s="1" t="s">
        <v>53</v>
      </c>
      <c r="G62" s="1">
        <f>0.3*0.2*E62*C62</f>
        <v>1.242</v>
      </c>
      <c r="H62" s="1">
        <f>0.25*E62*C62*4</f>
        <v>20.7</v>
      </c>
      <c r="I62" s="1"/>
      <c r="J62" s="1">
        <f>0.86*J4*29*C62</f>
        <v>58.958160000000007</v>
      </c>
      <c r="K62" s="1">
        <f>6*4.55*K4*C62</f>
        <v>197.87039999999996</v>
      </c>
      <c r="L62" s="1"/>
      <c r="M62" s="1"/>
      <c r="N62" s="1"/>
    </row>
    <row r="63" spans="1:16" s="7" customFormat="1" x14ac:dyDescent="0.25">
      <c r="A63" s="110"/>
      <c r="B63" s="1" t="s">
        <v>45</v>
      </c>
      <c r="C63" s="1">
        <v>5</v>
      </c>
      <c r="D63" s="1"/>
      <c r="E63" s="1">
        <f t="shared" si="11"/>
        <v>3.4499999999999997</v>
      </c>
      <c r="F63" s="1" t="s">
        <v>54</v>
      </c>
      <c r="G63" s="1">
        <f>0.4*0.2*E63*C63</f>
        <v>1.3800000000000001</v>
      </c>
      <c r="H63" s="1">
        <f>0.3*E63*C63*4</f>
        <v>20.7</v>
      </c>
      <c r="I63" s="1"/>
      <c r="J63" s="1">
        <f>1.06*J4*29*C63</f>
        <v>60.5578</v>
      </c>
      <c r="K63" s="1">
        <f>6*4.05*K4*C63</f>
        <v>146.77199999999996</v>
      </c>
      <c r="L63" s="1"/>
      <c r="M63" s="1"/>
      <c r="N63" s="1"/>
      <c r="P63"/>
    </row>
    <row r="64" spans="1:16" x14ac:dyDescent="0.25">
      <c r="A64" s="64">
        <v>6.6</v>
      </c>
      <c r="B64" s="5" t="s">
        <v>66</v>
      </c>
      <c r="C64" s="5"/>
      <c r="D64" s="5"/>
      <c r="E64" s="5"/>
      <c r="F64" s="59"/>
      <c r="G64" s="59"/>
      <c r="H64" s="59"/>
      <c r="I64" s="59"/>
      <c r="J64" s="59"/>
      <c r="K64" s="59"/>
      <c r="L64" s="59"/>
      <c r="M64" s="59"/>
      <c r="N64" s="60"/>
    </row>
    <row r="65" spans="1:18" x14ac:dyDescent="0.25">
      <c r="A65" s="62"/>
      <c r="B65" s="5" t="s">
        <v>37</v>
      </c>
      <c r="C65" s="5">
        <v>22</v>
      </c>
      <c r="D65" s="5"/>
      <c r="E65" s="5">
        <f>2.95-0.6</f>
        <v>2.35</v>
      </c>
      <c r="F65" s="5" t="s">
        <v>54</v>
      </c>
      <c r="G65" s="5">
        <f>0.4*0.2*E65*C65</f>
        <v>4.136000000000001</v>
      </c>
      <c r="H65" s="5">
        <f>(0.4+0.2)*E65*C65*2</f>
        <v>62.040000000000013</v>
      </c>
      <c r="I65" s="5"/>
      <c r="J65" s="5">
        <f>1.06*C65*J4*22</f>
        <v>202.13776000000001</v>
      </c>
      <c r="K65" s="5">
        <f>K4*2.95*8*C65</f>
        <v>627.19360000000006</v>
      </c>
      <c r="L65" s="5"/>
      <c r="M65" s="5"/>
      <c r="N65" s="5"/>
    </row>
    <row r="66" spans="1:18" x14ac:dyDescent="0.25">
      <c r="A66" s="62"/>
      <c r="B66" s="5" t="s">
        <v>68</v>
      </c>
      <c r="C66" s="5">
        <v>18</v>
      </c>
      <c r="D66" s="5"/>
      <c r="E66" s="5">
        <f t="shared" ref="E66:E71" si="14">2.95-0.6</f>
        <v>2.35</v>
      </c>
      <c r="F66" s="5" t="s">
        <v>54</v>
      </c>
      <c r="G66" s="5">
        <f>0.4*0.2*E66*C66</f>
        <v>3.3840000000000012</v>
      </c>
      <c r="H66" s="5">
        <f>(0.4+0.2)*E66*C66*2</f>
        <v>50.760000000000012</v>
      </c>
      <c r="I66" s="5"/>
      <c r="J66" s="5">
        <f>22*1.06*C66*J4</f>
        <v>165.38544000000002</v>
      </c>
      <c r="K66" s="5">
        <f>K4*2.95*8*C66</f>
        <v>513.15840000000003</v>
      </c>
      <c r="L66" s="5"/>
      <c r="M66" s="5"/>
      <c r="N66" s="5"/>
    </row>
    <row r="67" spans="1:18" x14ac:dyDescent="0.25">
      <c r="A67" s="62"/>
      <c r="B67" s="5" t="s">
        <v>40</v>
      </c>
      <c r="C67" s="5">
        <v>14</v>
      </c>
      <c r="D67" s="5"/>
      <c r="E67" s="5">
        <f t="shared" si="14"/>
        <v>2.35</v>
      </c>
      <c r="F67" s="5" t="s">
        <v>52</v>
      </c>
      <c r="G67" s="5">
        <f t="shared" ref="G67" si="15">0.5*0.5*E67*C67</f>
        <v>8.2249999999999996</v>
      </c>
      <c r="H67" s="5">
        <f>0.5*E67*C67*4</f>
        <v>65.8</v>
      </c>
      <c r="I67" s="5"/>
      <c r="J67" s="5">
        <f>J4*C67*(10*1.86+0.535*10)</f>
        <v>132.10820000000001</v>
      </c>
      <c r="K67" s="5"/>
      <c r="L67" s="5"/>
      <c r="M67" s="5">
        <f>2.95*16*M4*C67</f>
        <v>1971.1664000000003</v>
      </c>
      <c r="N67" s="5"/>
    </row>
    <row r="68" spans="1:18" x14ac:dyDescent="0.25">
      <c r="A68" s="62"/>
      <c r="B68" s="5" t="s">
        <v>42</v>
      </c>
      <c r="C68" s="5">
        <v>2</v>
      </c>
      <c r="D68" s="5"/>
      <c r="E68" s="5">
        <f t="shared" si="14"/>
        <v>2.35</v>
      </c>
      <c r="F68" s="5" t="s">
        <v>54</v>
      </c>
      <c r="G68" s="5">
        <f>0.4*0.2*E68*C68</f>
        <v>0.37600000000000011</v>
      </c>
      <c r="H68" s="5">
        <f>(0.4+0.2)*E68*C68*2</f>
        <v>5.6400000000000015</v>
      </c>
      <c r="I68" s="5"/>
      <c r="J68" s="5">
        <f>J4*C68*22*1.06</f>
        <v>18.376160000000002</v>
      </c>
      <c r="K68" s="5">
        <f>K4*2.95*8*C68</f>
        <v>57.017600000000002</v>
      </c>
      <c r="L68" s="5"/>
      <c r="M68" s="5"/>
      <c r="N68" s="5"/>
    </row>
    <row r="69" spans="1:18" x14ac:dyDescent="0.25">
      <c r="A69" s="62"/>
      <c r="B69" s="5" t="s">
        <v>43</v>
      </c>
      <c r="C69" s="5">
        <v>2</v>
      </c>
      <c r="D69" s="5"/>
      <c r="E69" s="5">
        <f t="shared" si="14"/>
        <v>2.35</v>
      </c>
      <c r="F69" s="5" t="s">
        <v>51</v>
      </c>
      <c r="G69" s="5">
        <f t="shared" ref="G69" si="16">0.4*0.4*E69*C69</f>
        <v>0.75200000000000022</v>
      </c>
      <c r="H69" s="5">
        <f>0.4*E69*C69*4</f>
        <v>7.5200000000000005</v>
      </c>
      <c r="I69" s="5"/>
      <c r="J69" s="5">
        <f>1.46*C69*J4*22</f>
        <v>25.310559999999999</v>
      </c>
      <c r="K69" s="5">
        <f>K4*2.95*12*C69</f>
        <v>85.526399999999995</v>
      </c>
      <c r="L69" s="5"/>
      <c r="M69" s="5"/>
      <c r="N69" s="5"/>
    </row>
    <row r="70" spans="1:18" x14ac:dyDescent="0.25">
      <c r="A70" s="62"/>
      <c r="B70" s="5" t="s">
        <v>44</v>
      </c>
      <c r="C70" s="5">
        <v>6</v>
      </c>
      <c r="D70" s="5"/>
      <c r="E70" s="5">
        <f t="shared" si="14"/>
        <v>2.35</v>
      </c>
      <c r="F70" s="5" t="s">
        <v>53</v>
      </c>
      <c r="G70" s="5">
        <f>0.3*0.2*E70*C70</f>
        <v>0.84599999999999986</v>
      </c>
      <c r="H70" s="5">
        <f>0.25*E70*C70*4</f>
        <v>14.100000000000001</v>
      </c>
      <c r="I70" s="5"/>
      <c r="J70" s="5">
        <f>0.86*J4*22*C70</f>
        <v>44.726880000000001</v>
      </c>
      <c r="K70" s="5">
        <f>6*2.95*K4*C70</f>
        <v>128.28960000000001</v>
      </c>
      <c r="L70" s="5"/>
      <c r="M70" s="5"/>
      <c r="N70" s="5"/>
    </row>
    <row r="71" spans="1:18" x14ac:dyDescent="0.25">
      <c r="A71" s="63"/>
      <c r="B71" s="5" t="s">
        <v>67</v>
      </c>
      <c r="C71" s="5">
        <v>8</v>
      </c>
      <c r="D71" s="5"/>
      <c r="E71" s="5">
        <f t="shared" si="14"/>
        <v>2.35</v>
      </c>
      <c r="F71" s="5" t="s">
        <v>53</v>
      </c>
      <c r="G71" s="5">
        <f>0.3*0.2*E71*C71</f>
        <v>1.1279999999999999</v>
      </c>
      <c r="H71" s="5">
        <f>0.25*E71*C71*4</f>
        <v>18.8</v>
      </c>
      <c r="I71" s="5"/>
      <c r="J71" s="5">
        <f>0.86*J4*22*C71</f>
        <v>59.635840000000002</v>
      </c>
      <c r="K71" s="5">
        <f>8*2.95*K4*C71</f>
        <v>228.07040000000001</v>
      </c>
      <c r="L71" s="5"/>
      <c r="M71" s="5"/>
      <c r="N71" s="5"/>
    </row>
    <row r="72" spans="1:18" x14ac:dyDescent="0.25">
      <c r="A72" s="65"/>
      <c r="B72" s="66"/>
      <c r="C72" s="66"/>
      <c r="D72" s="66"/>
      <c r="E72" s="66"/>
      <c r="F72" s="66"/>
      <c r="G72" s="65"/>
      <c r="H72" s="65"/>
      <c r="I72" s="66"/>
      <c r="J72" s="66"/>
      <c r="K72" s="66"/>
      <c r="L72" s="66"/>
      <c r="M72" s="66"/>
      <c r="N72" s="66"/>
    </row>
    <row r="73" spans="1:18" ht="25.5" x14ac:dyDescent="0.35">
      <c r="A73" s="65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74"/>
      <c r="P73" s="113"/>
    </row>
    <row r="74" spans="1:18" ht="25.5" x14ac:dyDescent="0.35">
      <c r="A74" s="145" t="s">
        <v>252</v>
      </c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7"/>
    </row>
    <row r="75" spans="1:18" x14ac:dyDescent="0.25">
      <c r="A75" s="151" t="s">
        <v>247</v>
      </c>
      <c r="B75" s="151"/>
      <c r="C75" s="151"/>
      <c r="D75" s="151"/>
      <c r="E75" s="151"/>
      <c r="F75" s="151"/>
      <c r="G75" s="68" t="s">
        <v>133</v>
      </c>
      <c r="H75" s="68" t="s">
        <v>244</v>
      </c>
      <c r="I75" s="136" t="s">
        <v>249</v>
      </c>
      <c r="J75" s="148"/>
      <c r="K75" s="148"/>
      <c r="L75" s="148"/>
      <c r="M75" s="148"/>
      <c r="N75" s="69" t="s">
        <v>264</v>
      </c>
      <c r="O75" s="70"/>
      <c r="P75" s="76"/>
      <c r="Q75" s="8"/>
      <c r="R75" s="8"/>
    </row>
    <row r="76" spans="1:18" s="75" customFormat="1" x14ac:dyDescent="0.25">
      <c r="A76" s="150" t="s">
        <v>248</v>
      </c>
      <c r="B76" s="150"/>
      <c r="C76" s="150"/>
      <c r="D76" s="150"/>
      <c r="E76" s="150"/>
      <c r="F76" s="150"/>
      <c r="G76" s="76" t="s">
        <v>243</v>
      </c>
      <c r="H76" s="76" t="s">
        <v>245</v>
      </c>
      <c r="I76" s="76" t="s">
        <v>7</v>
      </c>
      <c r="J76" s="76" t="s">
        <v>11</v>
      </c>
      <c r="K76" s="76" t="s">
        <v>14</v>
      </c>
      <c r="L76" s="77" t="s">
        <v>12</v>
      </c>
      <c r="M76" s="76" t="s">
        <v>13</v>
      </c>
      <c r="N76" s="76" t="s">
        <v>251</v>
      </c>
      <c r="O76" s="76" t="s">
        <v>246</v>
      </c>
      <c r="P76" s="76" t="s">
        <v>250</v>
      </c>
      <c r="Q76" s="78"/>
      <c r="R76" s="78"/>
    </row>
    <row r="77" spans="1:18" x14ac:dyDescent="0.25">
      <c r="A77" s="149" t="s">
        <v>236</v>
      </c>
      <c r="B77" s="149"/>
      <c r="C77" s="149"/>
      <c r="D77" s="149"/>
      <c r="E77" s="149"/>
      <c r="F77" s="149"/>
      <c r="G77" s="79">
        <f>SUM(G6:G18)</f>
        <v>116.01631200000001</v>
      </c>
      <c r="H77" s="79">
        <f>SUM(H6:H18)</f>
        <v>962.43312000000026</v>
      </c>
      <c r="I77" s="79">
        <f>SUM(J6:J18)</f>
        <v>3595.584112</v>
      </c>
      <c r="J77" s="79">
        <f>SUM(K18)</f>
        <v>366.45888000000002</v>
      </c>
      <c r="K77" s="79">
        <f>SUM(L5:L18)</f>
        <v>3788.96</v>
      </c>
      <c r="L77" s="79">
        <f>SUM(M6:M17)</f>
        <v>31357.296000000006</v>
      </c>
      <c r="M77" s="79">
        <f>N10</f>
        <v>7547.9600000000009</v>
      </c>
      <c r="N77" s="79"/>
      <c r="O77" s="79"/>
      <c r="P77" s="79"/>
      <c r="Q77" s="8"/>
      <c r="R77" s="8"/>
    </row>
    <row r="78" spans="1:18" x14ac:dyDescent="0.25">
      <c r="A78" s="149" t="s">
        <v>237</v>
      </c>
      <c r="B78" s="149"/>
      <c r="C78" s="149"/>
      <c r="D78" s="149"/>
      <c r="E78" s="149"/>
      <c r="F78" s="149"/>
      <c r="G78" s="79">
        <f>SUM(G20:G31)</f>
        <v>101.00700000000003</v>
      </c>
      <c r="H78" s="79">
        <f>SUM(H20:H31)</f>
        <v>891.00000000000011</v>
      </c>
      <c r="I78" s="79">
        <f>SUM(J20:J31)</f>
        <v>2741.9878399999998</v>
      </c>
      <c r="J78" s="79">
        <f>SUM(K20:K31)</f>
        <v>691.45919999999978</v>
      </c>
      <c r="K78" s="79">
        <f>SUM(L20:L31)</f>
        <v>13521.254000000001</v>
      </c>
      <c r="L78" s="79"/>
      <c r="M78" s="79">
        <f>N24</f>
        <v>4571.9071999999996</v>
      </c>
      <c r="N78" s="79"/>
      <c r="O78" s="79"/>
      <c r="P78" s="79"/>
      <c r="Q78" s="8"/>
      <c r="R78" s="8"/>
    </row>
    <row r="79" spans="1:18" x14ac:dyDescent="0.25">
      <c r="A79" s="149" t="s">
        <v>238</v>
      </c>
      <c r="B79" s="149"/>
      <c r="C79" s="149"/>
      <c r="D79" s="149"/>
      <c r="E79" s="149"/>
      <c r="F79" s="149"/>
      <c r="G79" s="79">
        <f>SUM(G33:G42)</f>
        <v>61.616999999999997</v>
      </c>
      <c r="H79" s="79">
        <f>SUM(H33:H42)</f>
        <v>609.95999999999992</v>
      </c>
      <c r="I79" s="79">
        <f>SUM(J33:J42)</f>
        <v>1939.6423</v>
      </c>
      <c r="J79" s="79">
        <f>SUM(K33:K42)</f>
        <v>1879.7687999999998</v>
      </c>
      <c r="K79" s="79">
        <f>SUM(L33:L42)</f>
        <v>6808.9839999999995</v>
      </c>
      <c r="L79" s="79">
        <f>SUM(M37)</f>
        <v>3040.2736</v>
      </c>
      <c r="M79" s="79"/>
      <c r="N79" s="79"/>
      <c r="O79" s="79"/>
      <c r="P79" s="79"/>
      <c r="Q79" s="8"/>
      <c r="R79" s="8"/>
    </row>
    <row r="80" spans="1:18" x14ac:dyDescent="0.25">
      <c r="A80" s="149" t="s">
        <v>239</v>
      </c>
      <c r="B80" s="149"/>
      <c r="C80" s="149"/>
      <c r="D80" s="149"/>
      <c r="E80" s="149"/>
      <c r="F80" s="149"/>
      <c r="G80" s="79">
        <f>SUM(G44:G53)</f>
        <v>61.616999999999997</v>
      </c>
      <c r="H80" s="79">
        <f>SUM(H44:H53)</f>
        <v>609.95999999999992</v>
      </c>
      <c r="I80" s="79">
        <f>SUM(J44:J53)</f>
        <v>1928.1375</v>
      </c>
      <c r="J80" s="79">
        <f>SUM(K44:K53)</f>
        <v>1872.5207999999998</v>
      </c>
      <c r="K80" s="79">
        <f>SUM(L44:L53)</f>
        <v>6808.9839999999995</v>
      </c>
      <c r="L80" s="79">
        <f>L79</f>
        <v>3040.2736</v>
      </c>
      <c r="M80" s="79"/>
      <c r="N80" s="79"/>
      <c r="O80" s="79"/>
      <c r="P80" s="79"/>
      <c r="Q80" s="8"/>
      <c r="R80" s="8"/>
    </row>
    <row r="81" spans="1:18" x14ac:dyDescent="0.25">
      <c r="A81" s="149" t="s">
        <v>240</v>
      </c>
      <c r="B81" s="149"/>
      <c r="C81" s="149"/>
      <c r="D81" s="149"/>
      <c r="E81" s="149"/>
      <c r="F81" s="149"/>
      <c r="G81" s="79">
        <f>SUM(G55:G63)</f>
        <v>61.064999999999998</v>
      </c>
      <c r="H81" s="79">
        <f>SUM(H55:H63)</f>
        <v>601.67999999999995</v>
      </c>
      <c r="I81" s="79">
        <f>SUM(J55:J63)</f>
        <v>1903.9143799999999</v>
      </c>
      <c r="J81" s="79">
        <f>SUM(K55:K63)</f>
        <v>5639.0647999999992</v>
      </c>
      <c r="K81" s="79"/>
      <c r="L81" s="79">
        <f>L80</f>
        <v>3040.2736</v>
      </c>
      <c r="M81" s="79"/>
      <c r="N81" s="79"/>
      <c r="O81" s="79"/>
      <c r="P81" s="79"/>
      <c r="Q81" s="8"/>
      <c r="R81" s="8"/>
    </row>
    <row r="82" spans="1:18" x14ac:dyDescent="0.25">
      <c r="A82" s="149" t="s">
        <v>241</v>
      </c>
      <c r="B82" s="149"/>
      <c r="C82" s="149"/>
      <c r="D82" s="149"/>
      <c r="E82" s="149"/>
      <c r="F82" s="149"/>
      <c r="G82" s="79">
        <f>SUM(G65:G71)</f>
        <v>18.847000000000001</v>
      </c>
      <c r="H82" s="79">
        <f>SUM(H65:H71)</f>
        <v>224.66000000000005</v>
      </c>
      <c r="I82" s="79">
        <f>SUM(J65:J71)</f>
        <v>647.6808400000001</v>
      </c>
      <c r="J82" s="79">
        <f>SUM(K65:K71)</f>
        <v>1639.2560000000001</v>
      </c>
      <c r="K82" s="79"/>
      <c r="L82" s="79">
        <f>M67</f>
        <v>1971.1664000000003</v>
      </c>
      <c r="M82" s="79"/>
      <c r="N82" s="79"/>
      <c r="O82" s="79"/>
      <c r="P82" s="114"/>
      <c r="Q82" s="8"/>
      <c r="R82" s="8"/>
    </row>
    <row r="83" spans="1:18" x14ac:dyDescent="0.25">
      <c r="A83" s="149" t="s">
        <v>235</v>
      </c>
      <c r="B83" s="149"/>
      <c r="C83" s="149"/>
      <c r="D83" s="149"/>
      <c r="E83" s="149"/>
      <c r="F83" s="149"/>
      <c r="G83" s="79">
        <f>SUM(G77:G82)</f>
        <v>420.16931200000005</v>
      </c>
      <c r="H83" s="79">
        <f>SUM(H77:H82)</f>
        <v>3899.6931199999999</v>
      </c>
      <c r="I83" s="79">
        <f>SUM(I77:I82)</f>
        <v>12756.946972000002</v>
      </c>
      <c r="J83" s="79">
        <f>SUM(J77:J82)</f>
        <v>12088.528479999999</v>
      </c>
      <c r="K83" s="79">
        <f>SUM(K77:K80)</f>
        <v>30928.182000000001</v>
      </c>
      <c r="L83" s="79">
        <f>SUM(L77:L82)</f>
        <v>42449.283200000005</v>
      </c>
      <c r="M83" s="79">
        <f>SUM(M77:M80)</f>
        <v>12119.867200000001</v>
      </c>
      <c r="N83" s="79">
        <f>I83</f>
        <v>12756.946972000002</v>
      </c>
      <c r="O83" s="79">
        <f>J83+K83</f>
        <v>43016.710480000002</v>
      </c>
      <c r="P83" s="79">
        <f>L83+M83</f>
        <v>54569.150400000006</v>
      </c>
      <c r="Q83" s="8"/>
      <c r="R83" s="8"/>
    </row>
    <row r="84" spans="1:18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Q85" s="8"/>
      <c r="R85" s="8"/>
    </row>
    <row r="86" spans="1:18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P86" s="8"/>
      <c r="R86" s="8"/>
    </row>
    <row r="87" spans="1:18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Q87" s="8"/>
      <c r="R87" s="8"/>
    </row>
  </sheetData>
  <mergeCells count="12">
    <mergeCell ref="A1:N1"/>
    <mergeCell ref="A74:P74"/>
    <mergeCell ref="I75:M75"/>
    <mergeCell ref="A82:F82"/>
    <mergeCell ref="A83:F83"/>
    <mergeCell ref="A76:F76"/>
    <mergeCell ref="A75:F75"/>
    <mergeCell ref="A77:F77"/>
    <mergeCell ref="A78:F78"/>
    <mergeCell ref="A79:F79"/>
    <mergeCell ref="A80:F80"/>
    <mergeCell ref="A81:F8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423"/>
  <sheetViews>
    <sheetView tabSelected="1" topLeftCell="A400" zoomScaleNormal="100" workbookViewId="0">
      <selection activeCell="S415" sqref="S415"/>
    </sheetView>
  </sheetViews>
  <sheetFormatPr defaultRowHeight="12.75" x14ac:dyDescent="0.2"/>
  <cols>
    <col min="1" max="1" width="4.140625" style="16" customWidth="1"/>
    <col min="2" max="2" width="28" style="46" customWidth="1"/>
    <col min="3" max="3" width="7" style="17" customWidth="1"/>
    <col min="4" max="4" width="6.28515625" style="16" customWidth="1"/>
    <col min="5" max="5" width="4.7109375" style="16" customWidth="1"/>
    <col min="6" max="6" width="5.140625" style="16" customWidth="1"/>
    <col min="7" max="7" width="9.140625" style="16"/>
    <col min="8" max="8" width="11.5703125" style="16" customWidth="1"/>
    <col min="9" max="9" width="8.5703125" style="18" customWidth="1"/>
    <col min="10" max="10" width="8.28515625" style="19" customWidth="1"/>
    <col min="11" max="11" width="8" style="20" customWidth="1"/>
    <col min="12" max="12" width="6.7109375" style="16" customWidth="1"/>
    <col min="13" max="13" width="8" style="16" customWidth="1"/>
    <col min="14" max="14" width="7.5703125" style="16" customWidth="1"/>
    <col min="15" max="15" width="8.5703125" style="16" customWidth="1"/>
    <col min="16" max="16" width="10.7109375" style="19" customWidth="1"/>
    <col min="17" max="17" width="7.140625" style="16" customWidth="1"/>
    <col min="18" max="16384" width="9.140625" style="21"/>
  </cols>
  <sheetData>
    <row r="2" spans="1:17" ht="26.25" x14ac:dyDescent="0.4">
      <c r="A2" s="162" t="s">
        <v>254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4"/>
    </row>
    <row r="3" spans="1:17" x14ac:dyDescent="0.2">
      <c r="A3" s="158" t="s">
        <v>0</v>
      </c>
      <c r="B3" s="158" t="s">
        <v>1</v>
      </c>
      <c r="C3" s="157" t="s">
        <v>133</v>
      </c>
      <c r="D3" s="157"/>
      <c r="E3" s="157"/>
      <c r="F3" s="157"/>
      <c r="G3" s="157"/>
      <c r="H3" s="157"/>
      <c r="I3" s="141" t="s">
        <v>75</v>
      </c>
      <c r="J3" s="141"/>
      <c r="K3" s="141"/>
      <c r="L3" s="141"/>
      <c r="M3" s="141"/>
      <c r="N3" s="141"/>
      <c r="O3" s="141"/>
      <c r="P3" s="141"/>
      <c r="Q3" s="141"/>
    </row>
    <row r="4" spans="1:17" x14ac:dyDescent="0.2">
      <c r="A4" s="159"/>
      <c r="B4" s="159"/>
      <c r="C4" s="9" t="s">
        <v>78</v>
      </c>
      <c r="D4" s="10" t="s">
        <v>73</v>
      </c>
      <c r="E4" s="10" t="s">
        <v>72</v>
      </c>
      <c r="F4" s="11" t="s">
        <v>74</v>
      </c>
      <c r="G4" s="10" t="s">
        <v>4</v>
      </c>
      <c r="H4" s="10" t="s">
        <v>58</v>
      </c>
      <c r="I4" s="12" t="s">
        <v>77</v>
      </c>
      <c r="J4" s="10" t="s">
        <v>80</v>
      </c>
      <c r="K4" s="13" t="s">
        <v>79</v>
      </c>
      <c r="L4" s="10" t="s">
        <v>6</v>
      </c>
      <c r="M4" s="10" t="s">
        <v>7</v>
      </c>
      <c r="N4" s="10" t="s">
        <v>8</v>
      </c>
      <c r="O4" s="10" t="s">
        <v>11</v>
      </c>
      <c r="P4" s="10" t="s">
        <v>14</v>
      </c>
      <c r="Q4" s="10" t="s">
        <v>12</v>
      </c>
    </row>
    <row r="5" spans="1:17" ht="15" customHeight="1" x14ac:dyDescent="0.2">
      <c r="A5" s="160" t="s">
        <v>134</v>
      </c>
      <c r="B5" s="161"/>
      <c r="C5" s="23"/>
      <c r="D5" s="22"/>
      <c r="E5" s="22"/>
      <c r="F5" s="22"/>
      <c r="G5" s="22"/>
      <c r="H5" s="22"/>
      <c r="I5" s="24"/>
      <c r="J5" s="14"/>
      <c r="K5" s="25"/>
      <c r="L5" s="14">
        <v>0.222</v>
      </c>
      <c r="M5" s="14">
        <v>0.39400000000000002</v>
      </c>
      <c r="N5" s="14">
        <v>0.61599999999999999</v>
      </c>
      <c r="O5" s="14">
        <v>1.208</v>
      </c>
      <c r="P5" s="14">
        <v>1.99</v>
      </c>
      <c r="Q5" s="14">
        <v>2.9830000000000001</v>
      </c>
    </row>
    <row r="6" spans="1:17" x14ac:dyDescent="0.2">
      <c r="A6" s="26">
        <v>1</v>
      </c>
      <c r="B6" s="43" t="s">
        <v>76</v>
      </c>
      <c r="C6" s="27">
        <v>2</v>
      </c>
      <c r="D6" s="26">
        <v>19.8</v>
      </c>
      <c r="E6" s="26">
        <v>0.2</v>
      </c>
      <c r="F6" s="26">
        <v>0.4</v>
      </c>
      <c r="G6" s="26">
        <f>C6*D6*E6*(F6-0.1)</f>
        <v>2.3760000000000008</v>
      </c>
      <c r="H6" s="26">
        <f>C6*D6*(F6-0.1)*2</f>
        <v>23.760000000000005</v>
      </c>
      <c r="I6" s="24">
        <v>1</v>
      </c>
      <c r="J6" s="14">
        <f>19.75+2*0.2+1*35*0.018</f>
        <v>20.779999999999998</v>
      </c>
      <c r="K6" s="25">
        <v>2</v>
      </c>
      <c r="L6" s="22"/>
      <c r="M6" s="22"/>
      <c r="N6" s="22"/>
      <c r="O6" s="22"/>
      <c r="P6" s="14">
        <f>J6*P5*C6*K6</f>
        <v>165.40879999999999</v>
      </c>
      <c r="Q6" s="22"/>
    </row>
    <row r="7" spans="1:17" x14ac:dyDescent="0.2">
      <c r="A7" s="28"/>
      <c r="B7" s="44"/>
      <c r="C7" s="29"/>
      <c r="D7" s="28"/>
      <c r="E7" s="28"/>
      <c r="F7" s="28"/>
      <c r="G7" s="28"/>
      <c r="H7" s="28"/>
      <c r="I7" s="24">
        <v>2</v>
      </c>
      <c r="J7" s="14">
        <f>19.75+2*0.2+1*35*0.018</f>
        <v>20.779999999999998</v>
      </c>
      <c r="K7" s="25">
        <v>2</v>
      </c>
      <c r="L7" s="22"/>
      <c r="M7" s="22"/>
      <c r="N7" s="22"/>
      <c r="O7" s="22"/>
      <c r="P7" s="14">
        <f>J7*P5*C6*K7</f>
        <v>165.40879999999999</v>
      </c>
      <c r="Q7" s="22"/>
    </row>
    <row r="8" spans="1:17" x14ac:dyDescent="0.2">
      <c r="A8" s="28"/>
      <c r="B8" s="44"/>
      <c r="C8" s="29"/>
      <c r="D8" s="28"/>
      <c r="E8" s="28"/>
      <c r="F8" s="28"/>
      <c r="G8" s="28"/>
      <c r="H8" s="28"/>
      <c r="I8" s="24">
        <v>3</v>
      </c>
      <c r="J8" s="14">
        <f>2*(1.8*2+0.3+1.8+0.6)</f>
        <v>12.6</v>
      </c>
      <c r="K8" s="25">
        <v>1</v>
      </c>
      <c r="L8" s="22"/>
      <c r="M8" s="22"/>
      <c r="N8" s="22"/>
      <c r="O8" s="22"/>
      <c r="P8" s="14">
        <f>J8*P5*C6*K8</f>
        <v>50.147999999999996</v>
      </c>
      <c r="Q8" s="22"/>
    </row>
    <row r="9" spans="1:17" x14ac:dyDescent="0.2">
      <c r="A9" s="28"/>
      <c r="B9" s="44"/>
      <c r="C9" s="29"/>
      <c r="D9" s="28"/>
      <c r="E9" s="28"/>
      <c r="F9" s="28"/>
      <c r="G9" s="28"/>
      <c r="H9" s="28"/>
      <c r="I9" s="24">
        <v>4</v>
      </c>
      <c r="J9" s="14">
        <f>(5.4-2*(5.4/6))*3</f>
        <v>10.8</v>
      </c>
      <c r="K9" s="25">
        <v>1</v>
      </c>
      <c r="L9" s="22"/>
      <c r="M9" s="22"/>
      <c r="N9" s="22"/>
      <c r="O9" s="22"/>
      <c r="P9" s="14">
        <f>J9*K9*P5*C6</f>
        <v>42.984000000000002</v>
      </c>
      <c r="Q9" s="22"/>
    </row>
    <row r="10" spans="1:17" x14ac:dyDescent="0.2">
      <c r="A10" s="30"/>
      <c r="B10" s="45"/>
      <c r="C10" s="31"/>
      <c r="D10" s="30"/>
      <c r="E10" s="30"/>
      <c r="F10" s="30"/>
      <c r="G10" s="30"/>
      <c r="H10" s="30"/>
      <c r="I10" s="24" t="s">
        <v>81</v>
      </c>
      <c r="J10" s="14">
        <v>1.06</v>
      </c>
      <c r="K10" s="25">
        <v>100</v>
      </c>
      <c r="L10" s="22"/>
      <c r="M10" s="14">
        <f>K10*J10*C6*M5</f>
        <v>83.528000000000006</v>
      </c>
      <c r="N10" s="14"/>
      <c r="O10" s="22"/>
      <c r="P10" s="14"/>
      <c r="Q10" s="22"/>
    </row>
    <row r="11" spans="1:17" x14ac:dyDescent="0.2">
      <c r="A11" s="28">
        <v>2</v>
      </c>
      <c r="B11" s="43" t="s">
        <v>82</v>
      </c>
      <c r="C11" s="29">
        <v>2</v>
      </c>
      <c r="D11" s="28">
        <f>6+0.9+0.2</f>
        <v>7.1000000000000005</v>
      </c>
      <c r="E11" s="28">
        <v>0.2</v>
      </c>
      <c r="F11" s="28">
        <v>0.4</v>
      </c>
      <c r="G11" s="28">
        <f>D11*E11*(F11-0.1)*C11</f>
        <v>0.8520000000000002</v>
      </c>
      <c r="H11" s="28">
        <f>C11*(0.3*D11+0.3*D11)</f>
        <v>8.52</v>
      </c>
      <c r="I11" s="24">
        <v>1</v>
      </c>
      <c r="J11" s="14">
        <v>7.5</v>
      </c>
      <c r="K11" s="25">
        <v>2</v>
      </c>
      <c r="L11" s="22"/>
      <c r="M11" s="22"/>
      <c r="N11" s="22"/>
      <c r="O11" s="22"/>
      <c r="P11" s="14">
        <f>P5*K11*J11*C11</f>
        <v>59.7</v>
      </c>
      <c r="Q11" s="22"/>
    </row>
    <row r="12" spans="1:17" x14ac:dyDescent="0.2">
      <c r="A12" s="28"/>
      <c r="B12" s="44"/>
      <c r="C12" s="29"/>
      <c r="D12" s="28"/>
      <c r="E12" s="28"/>
      <c r="F12" s="28"/>
      <c r="G12" s="28"/>
      <c r="H12" s="28"/>
      <c r="I12" s="24">
        <v>2</v>
      </c>
      <c r="J12" s="14">
        <v>7.5</v>
      </c>
      <c r="K12" s="25">
        <v>2</v>
      </c>
      <c r="L12" s="22"/>
      <c r="M12" s="22"/>
      <c r="N12" s="22"/>
      <c r="O12" s="22"/>
      <c r="P12" s="14">
        <f>1.99*K12*J12*C11</f>
        <v>59.7</v>
      </c>
      <c r="Q12" s="22"/>
    </row>
    <row r="13" spans="1:17" x14ac:dyDescent="0.2">
      <c r="A13" s="28"/>
      <c r="B13" s="44"/>
      <c r="C13" s="29"/>
      <c r="D13" s="28"/>
      <c r="E13" s="28"/>
      <c r="F13" s="28"/>
      <c r="G13" s="28"/>
      <c r="H13" s="28"/>
      <c r="I13" s="24">
        <v>3</v>
      </c>
      <c r="J13" s="14">
        <f>2.05+1.4+0.35+0.2+0.2</f>
        <v>4.2</v>
      </c>
      <c r="K13" s="25">
        <v>2</v>
      </c>
      <c r="L13" s="22"/>
      <c r="M13" s="22"/>
      <c r="N13" s="22"/>
      <c r="O13" s="22"/>
      <c r="P13" s="14">
        <f>P5*K13*J13*C11</f>
        <v>33.432000000000002</v>
      </c>
      <c r="Q13" s="22"/>
    </row>
    <row r="14" spans="1:17" x14ac:dyDescent="0.2">
      <c r="A14" s="28"/>
      <c r="B14" s="44"/>
      <c r="C14" s="29"/>
      <c r="D14" s="28"/>
      <c r="E14" s="28"/>
      <c r="F14" s="28"/>
      <c r="G14" s="28"/>
      <c r="H14" s="28"/>
      <c r="I14" s="24">
        <v>4</v>
      </c>
      <c r="J14" s="14">
        <f>(5.6-1.8)</f>
        <v>3.8</v>
      </c>
      <c r="K14" s="25">
        <v>2</v>
      </c>
      <c r="L14" s="22"/>
      <c r="M14" s="22"/>
      <c r="N14" s="22"/>
      <c r="O14" s="22"/>
      <c r="P14" s="14">
        <f>K14*J14*C11*P5</f>
        <v>30.247999999999998</v>
      </c>
      <c r="Q14" s="22"/>
    </row>
    <row r="15" spans="1:17" x14ac:dyDescent="0.2">
      <c r="A15" s="30"/>
      <c r="B15" s="45"/>
      <c r="C15" s="31"/>
      <c r="D15" s="30"/>
      <c r="E15" s="30"/>
      <c r="F15" s="30"/>
      <c r="G15" s="30"/>
      <c r="H15" s="30"/>
      <c r="I15" s="24" t="s">
        <v>81</v>
      </c>
      <c r="J15" s="14">
        <v>1.06</v>
      </c>
      <c r="K15" s="25">
        <v>35</v>
      </c>
      <c r="L15" s="22"/>
      <c r="M15" s="14">
        <f>M5*K15*J15*C11</f>
        <v>29.234800000000003</v>
      </c>
      <c r="N15" s="14"/>
      <c r="O15" s="22"/>
      <c r="P15" s="14"/>
      <c r="Q15" s="22"/>
    </row>
    <row r="16" spans="1:17" x14ac:dyDescent="0.2">
      <c r="A16" s="26">
        <v>3</v>
      </c>
      <c r="B16" s="43" t="s">
        <v>83</v>
      </c>
      <c r="C16" s="27">
        <v>2</v>
      </c>
      <c r="D16" s="26">
        <f>6+0.4</f>
        <v>6.4</v>
      </c>
      <c r="E16" s="26">
        <v>0.2</v>
      </c>
      <c r="F16" s="26">
        <v>0.4</v>
      </c>
      <c r="G16" s="26">
        <f>C16*D16*E16*(F16-0.1)</f>
        <v>0.76800000000000024</v>
      </c>
      <c r="H16" s="26">
        <f>C16*(D16*0.3*2+3.5*0.2)</f>
        <v>9.08</v>
      </c>
      <c r="I16" s="24">
        <v>1</v>
      </c>
      <c r="J16" s="14">
        <f>6.35+0.4</f>
        <v>6.75</v>
      </c>
      <c r="K16" s="25">
        <v>2</v>
      </c>
      <c r="L16" s="22"/>
      <c r="M16" s="22"/>
      <c r="N16" s="22"/>
      <c r="O16" s="22"/>
      <c r="P16" s="14">
        <f>P5*K16*J16*C16</f>
        <v>53.73</v>
      </c>
      <c r="Q16" s="22"/>
    </row>
    <row r="17" spans="1:17" x14ac:dyDescent="0.2">
      <c r="A17" s="28"/>
      <c r="B17" s="44"/>
      <c r="C17" s="29"/>
      <c r="D17" s="28"/>
      <c r="E17" s="28"/>
      <c r="F17" s="28"/>
      <c r="G17" s="28"/>
      <c r="H17" s="28"/>
      <c r="I17" s="24">
        <v>2</v>
      </c>
      <c r="J17" s="14">
        <f>6.35+0.4</f>
        <v>6.75</v>
      </c>
      <c r="K17" s="25">
        <v>2</v>
      </c>
      <c r="L17" s="22"/>
      <c r="M17" s="22"/>
      <c r="N17" s="22"/>
      <c r="O17" s="22"/>
      <c r="P17" s="14">
        <f>P5*K17*J17*C16</f>
        <v>53.73</v>
      </c>
      <c r="Q17" s="22"/>
    </row>
    <row r="18" spans="1:17" x14ac:dyDescent="0.2">
      <c r="A18" s="28"/>
      <c r="B18" s="44"/>
      <c r="C18" s="29"/>
      <c r="D18" s="28"/>
      <c r="E18" s="28"/>
      <c r="F18" s="28"/>
      <c r="G18" s="28"/>
      <c r="H18" s="28"/>
      <c r="I18" s="24">
        <v>3</v>
      </c>
      <c r="J18" s="14">
        <f>1.5+0.15+0.2</f>
        <v>1.8499999999999999</v>
      </c>
      <c r="K18" s="25">
        <v>4</v>
      </c>
      <c r="L18" s="22"/>
      <c r="M18" s="22"/>
      <c r="N18" s="22"/>
      <c r="O18" s="22"/>
      <c r="P18" s="14">
        <f>P5*K18*J18*C16</f>
        <v>29.451999999999998</v>
      </c>
      <c r="Q18" s="22"/>
    </row>
    <row r="19" spans="1:17" x14ac:dyDescent="0.2">
      <c r="A19" s="28"/>
      <c r="B19" s="44"/>
      <c r="C19" s="29"/>
      <c r="D19" s="28"/>
      <c r="E19" s="28"/>
      <c r="F19" s="28"/>
      <c r="G19" s="28"/>
      <c r="H19" s="28"/>
      <c r="I19" s="24">
        <v>4</v>
      </c>
      <c r="J19" s="14">
        <v>4</v>
      </c>
      <c r="K19" s="25">
        <v>2</v>
      </c>
      <c r="L19" s="22"/>
      <c r="M19" s="22"/>
      <c r="N19" s="22"/>
      <c r="O19" s="22"/>
      <c r="P19" s="14">
        <f>K19*J19*C16*P5</f>
        <v>31.84</v>
      </c>
      <c r="Q19" s="22"/>
    </row>
    <row r="20" spans="1:17" ht="13.5" customHeight="1" x14ac:dyDescent="0.2">
      <c r="A20" s="30"/>
      <c r="B20" s="45"/>
      <c r="C20" s="31"/>
      <c r="D20" s="30"/>
      <c r="E20" s="30"/>
      <c r="F20" s="30"/>
      <c r="G20" s="30"/>
      <c r="H20" s="30"/>
      <c r="I20" s="24" t="s">
        <v>81</v>
      </c>
      <c r="J20" s="14">
        <v>1.06</v>
      </c>
      <c r="K20" s="25">
        <v>35</v>
      </c>
      <c r="L20" s="22"/>
      <c r="M20" s="22">
        <f>M5*K20*J20*C16</f>
        <v>29.234800000000003</v>
      </c>
      <c r="N20" s="22"/>
      <c r="O20" s="22"/>
      <c r="P20" s="14"/>
      <c r="Q20" s="22"/>
    </row>
    <row r="21" spans="1:17" s="15" customFormat="1" x14ac:dyDescent="0.2">
      <c r="A21" s="115">
        <v>4</v>
      </c>
      <c r="B21" s="116" t="s">
        <v>84</v>
      </c>
      <c r="C21" s="117">
        <v>4</v>
      </c>
      <c r="D21" s="115">
        <f>3.4+0.9</f>
        <v>4.3</v>
      </c>
      <c r="E21" s="115">
        <v>0.2</v>
      </c>
      <c r="F21" s="115">
        <v>0.4</v>
      </c>
      <c r="G21" s="115">
        <f>C21*D21*E21*0.3</f>
        <v>1.032</v>
      </c>
      <c r="H21" s="115">
        <f>C21*(D21*2*0.3+0.2*3.2)</f>
        <v>12.879999999999999</v>
      </c>
      <c r="I21" s="118">
        <v>1</v>
      </c>
      <c r="J21" s="81">
        <f>D21-0.05+0.4</f>
        <v>4.6500000000000004</v>
      </c>
      <c r="K21" s="119">
        <v>2</v>
      </c>
      <c r="L21" s="80"/>
      <c r="M21" s="80"/>
      <c r="N21" s="80"/>
      <c r="O21" s="80"/>
      <c r="P21" s="81">
        <f>K21*J21*P5*C21</f>
        <v>74.028000000000006</v>
      </c>
      <c r="Q21" s="80"/>
    </row>
    <row r="22" spans="1:17" s="15" customFormat="1" x14ac:dyDescent="0.2">
      <c r="A22" s="120"/>
      <c r="B22" s="121"/>
      <c r="C22" s="122"/>
      <c r="D22" s="120"/>
      <c r="E22" s="120"/>
      <c r="F22" s="120"/>
      <c r="G22" s="120"/>
      <c r="H22" s="120"/>
      <c r="I22" s="118">
        <v>2</v>
      </c>
      <c r="J22" s="81">
        <f>D21-0.05+0.4</f>
        <v>4.6500000000000004</v>
      </c>
      <c r="K22" s="119">
        <v>2</v>
      </c>
      <c r="L22" s="80"/>
      <c r="M22" s="80"/>
      <c r="N22" s="80"/>
      <c r="O22" s="80"/>
      <c r="P22" s="81">
        <f>P5*K22*J22*C21</f>
        <v>74.028000000000006</v>
      </c>
      <c r="Q22" s="80"/>
    </row>
    <row r="23" spans="1:17" s="15" customFormat="1" x14ac:dyDescent="0.2">
      <c r="A23" s="120"/>
      <c r="B23" s="121"/>
      <c r="C23" s="122"/>
      <c r="D23" s="120"/>
      <c r="E23" s="120"/>
      <c r="F23" s="120"/>
      <c r="G23" s="120"/>
      <c r="H23" s="120"/>
      <c r="I23" s="118">
        <v>3</v>
      </c>
      <c r="J23" s="81">
        <f>(0.75+0.5+0.85+0.2+0.75+0.25+0.2)</f>
        <v>3.5000000000000004</v>
      </c>
      <c r="K23" s="119">
        <v>2</v>
      </c>
      <c r="L23" s="80"/>
      <c r="M23" s="80"/>
      <c r="N23" s="80"/>
      <c r="O23" s="80"/>
      <c r="P23" s="81">
        <f>K23*J23*C21*P5</f>
        <v>55.720000000000006</v>
      </c>
      <c r="Q23" s="80"/>
    </row>
    <row r="24" spans="1:17" s="15" customFormat="1" x14ac:dyDescent="0.2">
      <c r="A24" s="120"/>
      <c r="B24" s="121"/>
      <c r="C24" s="122"/>
      <c r="D24" s="120"/>
      <c r="E24" s="120"/>
      <c r="F24" s="120"/>
      <c r="G24" s="120"/>
      <c r="H24" s="120"/>
      <c r="I24" s="118">
        <v>4</v>
      </c>
      <c r="J24" s="81">
        <f>2.05</f>
        <v>2.0499999999999998</v>
      </c>
      <c r="K24" s="119">
        <v>2</v>
      </c>
      <c r="L24" s="80"/>
      <c r="M24" s="80"/>
      <c r="N24" s="80"/>
      <c r="O24" s="80"/>
      <c r="P24" s="81">
        <f>K24*J24*C21*P5</f>
        <v>32.635999999999996</v>
      </c>
      <c r="Q24" s="80"/>
    </row>
    <row r="25" spans="1:17" s="15" customFormat="1" x14ac:dyDescent="0.2">
      <c r="A25" s="123"/>
      <c r="B25" s="124"/>
      <c r="C25" s="125"/>
      <c r="D25" s="123"/>
      <c r="E25" s="123"/>
      <c r="F25" s="123"/>
      <c r="G25" s="123"/>
      <c r="H25" s="123"/>
      <c r="I25" s="118" t="s">
        <v>81</v>
      </c>
      <c r="J25" s="81">
        <v>1.06</v>
      </c>
      <c r="K25" s="119">
        <v>18</v>
      </c>
      <c r="L25" s="80"/>
      <c r="M25" s="80">
        <f>M5*K25*J25*C21</f>
        <v>30.070080000000004</v>
      </c>
      <c r="N25" s="80"/>
      <c r="O25" s="80"/>
      <c r="P25" s="81"/>
      <c r="Q25" s="80"/>
    </row>
    <row r="26" spans="1:17" x14ac:dyDescent="0.2">
      <c r="A26" s="26">
        <v>5</v>
      </c>
      <c r="B26" s="43" t="s">
        <v>85</v>
      </c>
      <c r="C26" s="27">
        <v>2</v>
      </c>
      <c r="D26" s="26">
        <v>7.4</v>
      </c>
      <c r="E26" s="26">
        <v>0.2</v>
      </c>
      <c r="F26" s="26">
        <v>0.4</v>
      </c>
      <c r="G26" s="26">
        <f>D26*C26*E26*0.3</f>
        <v>0.88800000000000012</v>
      </c>
      <c r="H26" s="26">
        <f>C26*D26*0.3*2</f>
        <v>8.8800000000000008</v>
      </c>
      <c r="I26" s="24">
        <v>1</v>
      </c>
      <c r="J26" s="14">
        <f>7.4-0.05+0.4</f>
        <v>7.7500000000000009</v>
      </c>
      <c r="K26" s="25">
        <v>2</v>
      </c>
      <c r="L26" s="22"/>
      <c r="M26" s="22"/>
      <c r="N26" s="22"/>
      <c r="O26" s="22"/>
      <c r="P26" s="14">
        <f>P5*K26*J26*C26</f>
        <v>61.690000000000005</v>
      </c>
      <c r="Q26" s="22"/>
    </row>
    <row r="27" spans="1:17" x14ac:dyDescent="0.2">
      <c r="A27" s="28"/>
      <c r="B27" s="44"/>
      <c r="C27" s="29"/>
      <c r="D27" s="28"/>
      <c r="E27" s="28"/>
      <c r="F27" s="28"/>
      <c r="G27" s="28"/>
      <c r="H27" s="28"/>
      <c r="I27" s="24">
        <v>2</v>
      </c>
      <c r="J27" s="14">
        <f>J26</f>
        <v>7.7500000000000009</v>
      </c>
      <c r="K27" s="25">
        <v>2</v>
      </c>
      <c r="L27" s="22"/>
      <c r="M27" s="22"/>
      <c r="N27" s="22"/>
      <c r="O27" s="22"/>
      <c r="P27" s="14">
        <f>P26</f>
        <v>61.690000000000005</v>
      </c>
      <c r="Q27" s="22"/>
    </row>
    <row r="28" spans="1:17" x14ac:dyDescent="0.2">
      <c r="A28" s="28"/>
      <c r="B28" s="44"/>
      <c r="C28" s="29"/>
      <c r="D28" s="28"/>
      <c r="E28" s="28"/>
      <c r="F28" s="28"/>
      <c r="G28" s="28"/>
      <c r="H28" s="28"/>
      <c r="I28" s="24">
        <v>3</v>
      </c>
      <c r="J28" s="14">
        <f>2*(1.65+0.2+0.2)</f>
        <v>4.0999999999999996</v>
      </c>
      <c r="K28" s="25">
        <v>2</v>
      </c>
      <c r="L28" s="22"/>
      <c r="M28" s="22"/>
      <c r="N28" s="22"/>
      <c r="O28" s="22"/>
      <c r="P28" s="14">
        <f>K28*J28*P5*C26</f>
        <v>32.635999999999996</v>
      </c>
      <c r="Q28" s="22"/>
    </row>
    <row r="29" spans="1:17" x14ac:dyDescent="0.2">
      <c r="A29" s="28"/>
      <c r="B29" s="44"/>
      <c r="C29" s="29"/>
      <c r="D29" s="28"/>
      <c r="E29" s="28"/>
      <c r="F29" s="28"/>
      <c r="G29" s="28"/>
      <c r="H29" s="28"/>
      <c r="I29" s="24">
        <v>4</v>
      </c>
      <c r="J29" s="14">
        <f>(7.2-0.5-2.2)</f>
        <v>4.5</v>
      </c>
      <c r="K29" s="25">
        <v>2</v>
      </c>
      <c r="L29" s="22"/>
      <c r="M29" s="22"/>
      <c r="N29" s="22"/>
      <c r="O29" s="22"/>
      <c r="P29" s="14">
        <f>K29*P5*J29*C26</f>
        <v>35.82</v>
      </c>
      <c r="Q29" s="22"/>
    </row>
    <row r="30" spans="1:17" x14ac:dyDescent="0.2">
      <c r="A30" s="30"/>
      <c r="B30" s="45"/>
      <c r="C30" s="31"/>
      <c r="D30" s="30"/>
      <c r="E30" s="30"/>
      <c r="F30" s="30"/>
      <c r="G30" s="30"/>
      <c r="H30" s="30"/>
      <c r="I30" s="24" t="s">
        <v>81</v>
      </c>
      <c r="J30" s="14">
        <v>1.06</v>
      </c>
      <c r="K30" s="25">
        <v>36</v>
      </c>
      <c r="L30" s="22"/>
      <c r="M30" s="22">
        <f>M5*K30*J30*C26</f>
        <v>30.070080000000004</v>
      </c>
      <c r="N30" s="22"/>
      <c r="O30" s="22"/>
      <c r="P30" s="14"/>
      <c r="Q30" s="22"/>
    </row>
    <row r="31" spans="1:17" x14ac:dyDescent="0.2">
      <c r="A31" s="26">
        <v>6</v>
      </c>
      <c r="B31" s="43" t="s">
        <v>86</v>
      </c>
      <c r="C31" s="27">
        <v>3</v>
      </c>
      <c r="D31" s="26">
        <v>7.8</v>
      </c>
      <c r="E31" s="26">
        <v>0.2</v>
      </c>
      <c r="F31" s="26">
        <v>0.4</v>
      </c>
      <c r="G31" s="26">
        <f>D31*E31*(F31-0.1)*C31</f>
        <v>1.4040000000000004</v>
      </c>
      <c r="H31" s="26">
        <f>2*C31*D31*0.3</f>
        <v>14.04</v>
      </c>
      <c r="I31" s="24">
        <v>1</v>
      </c>
      <c r="J31" s="14">
        <f>D31-0.05+0.4</f>
        <v>8.15</v>
      </c>
      <c r="K31" s="25">
        <v>2</v>
      </c>
      <c r="L31" s="22"/>
      <c r="M31" s="22"/>
      <c r="N31" s="22"/>
      <c r="O31" s="22"/>
      <c r="P31" s="14">
        <f>P5*K31*J31*C31</f>
        <v>97.311000000000007</v>
      </c>
      <c r="Q31" s="22"/>
    </row>
    <row r="32" spans="1:17" x14ac:dyDescent="0.2">
      <c r="A32" s="28"/>
      <c r="B32" s="44"/>
      <c r="C32" s="29"/>
      <c r="D32" s="28"/>
      <c r="E32" s="28"/>
      <c r="F32" s="28"/>
      <c r="G32" s="28"/>
      <c r="H32" s="28"/>
      <c r="I32" s="24">
        <v>2</v>
      </c>
      <c r="J32" s="14">
        <f>D31-0.05+0.4</f>
        <v>8.15</v>
      </c>
      <c r="K32" s="25">
        <v>2</v>
      </c>
      <c r="L32" s="22"/>
      <c r="M32" s="22"/>
      <c r="N32" s="22"/>
      <c r="O32" s="22"/>
      <c r="P32" s="14">
        <f>P31</f>
        <v>97.311000000000007</v>
      </c>
      <c r="Q32" s="22"/>
    </row>
    <row r="33" spans="1:17" x14ac:dyDescent="0.2">
      <c r="A33" s="28"/>
      <c r="B33" s="44"/>
      <c r="C33" s="29"/>
      <c r="D33" s="28"/>
      <c r="E33" s="28"/>
      <c r="F33" s="28"/>
      <c r="G33" s="28"/>
      <c r="H33" s="28"/>
      <c r="I33" s="24">
        <v>3</v>
      </c>
      <c r="J33" s="14">
        <f>2*(1.95+0.2+0.2)</f>
        <v>4.7</v>
      </c>
      <c r="K33" s="25">
        <v>1</v>
      </c>
      <c r="L33" s="22"/>
      <c r="M33" s="22"/>
      <c r="N33" s="22"/>
      <c r="O33" s="22"/>
      <c r="P33" s="14">
        <f>K33*J33*C31*P5</f>
        <v>28.059000000000001</v>
      </c>
      <c r="Q33" s="22"/>
    </row>
    <row r="34" spans="1:17" x14ac:dyDescent="0.2">
      <c r="A34" s="28"/>
      <c r="B34" s="44"/>
      <c r="C34" s="29"/>
      <c r="D34" s="28"/>
      <c r="E34" s="28"/>
      <c r="F34" s="28"/>
      <c r="G34" s="28"/>
      <c r="H34" s="28"/>
      <c r="I34" s="24">
        <v>4</v>
      </c>
      <c r="J34" s="14">
        <f>5.8-1.45</f>
        <v>4.3499999999999996</v>
      </c>
      <c r="K34" s="25">
        <v>1</v>
      </c>
      <c r="L34" s="22"/>
      <c r="M34" s="22"/>
      <c r="N34" s="22"/>
      <c r="O34" s="22"/>
      <c r="P34" s="14">
        <f>K34*J34*C31*P5</f>
        <v>25.969499999999996</v>
      </c>
      <c r="Q34" s="22"/>
    </row>
    <row r="35" spans="1:17" x14ac:dyDescent="0.2">
      <c r="A35" s="30"/>
      <c r="B35" s="45"/>
      <c r="C35" s="31"/>
      <c r="D35" s="30"/>
      <c r="E35" s="30"/>
      <c r="F35" s="30"/>
      <c r="G35" s="30"/>
      <c r="H35" s="30"/>
      <c r="I35" s="24" t="s">
        <v>81</v>
      </c>
      <c r="J35" s="14">
        <v>1.06</v>
      </c>
      <c r="K35" s="25">
        <v>40</v>
      </c>
      <c r="L35" s="22"/>
      <c r="M35" s="22">
        <f>M5*K35*J35*C31</f>
        <v>50.116800000000012</v>
      </c>
      <c r="N35" s="22"/>
      <c r="O35" s="22"/>
      <c r="P35" s="14"/>
      <c r="Q35" s="22"/>
    </row>
    <row r="36" spans="1:17" x14ac:dyDescent="0.2">
      <c r="A36" s="26">
        <v>7</v>
      </c>
      <c r="B36" s="43" t="s">
        <v>87</v>
      </c>
      <c r="C36" s="27">
        <v>1</v>
      </c>
      <c r="D36" s="26">
        <v>40.799999999999997</v>
      </c>
      <c r="E36" s="26">
        <v>0.2</v>
      </c>
      <c r="F36" s="26">
        <v>0.4</v>
      </c>
      <c r="G36" s="26">
        <f>D36*E36*0.3*C36</f>
        <v>2.448</v>
      </c>
      <c r="H36" s="26">
        <f>D36*2*0.3</f>
        <v>24.479999999999997</v>
      </c>
      <c r="I36" s="24">
        <v>1</v>
      </c>
      <c r="J36" s="14">
        <f>40.75+0.4+2*35*0.018</f>
        <v>42.41</v>
      </c>
      <c r="K36" s="25">
        <v>2</v>
      </c>
      <c r="L36" s="22"/>
      <c r="M36" s="22"/>
      <c r="N36" s="22"/>
      <c r="O36" s="22"/>
      <c r="P36" s="14">
        <f>K36*J36*P5</f>
        <v>168.79179999999999</v>
      </c>
      <c r="Q36" s="22"/>
    </row>
    <row r="37" spans="1:17" x14ac:dyDescent="0.2">
      <c r="A37" s="28"/>
      <c r="B37" s="44"/>
      <c r="C37" s="29"/>
      <c r="D37" s="28"/>
      <c r="E37" s="28"/>
      <c r="F37" s="28"/>
      <c r="G37" s="28"/>
      <c r="H37" s="28"/>
      <c r="I37" s="24">
        <v>2</v>
      </c>
      <c r="J37" s="14">
        <f>J36</f>
        <v>42.41</v>
      </c>
      <c r="K37" s="25">
        <f>K36</f>
        <v>2</v>
      </c>
      <c r="L37" s="22"/>
      <c r="M37" s="22"/>
      <c r="N37" s="22"/>
      <c r="O37" s="22"/>
      <c r="P37" s="14">
        <f>P36</f>
        <v>168.79179999999999</v>
      </c>
      <c r="Q37" s="22"/>
    </row>
    <row r="38" spans="1:17" x14ac:dyDescent="0.2">
      <c r="A38" s="28"/>
      <c r="B38" s="44"/>
      <c r="C38" s="29"/>
      <c r="D38" s="28"/>
      <c r="E38" s="28"/>
      <c r="F38" s="28"/>
      <c r="G38" s="28"/>
      <c r="H38" s="28"/>
      <c r="I38" s="24">
        <v>3</v>
      </c>
      <c r="J38" s="14">
        <f>2*(2.25*2+0.3+2.25+1.9+0.3+1.9+0.2+0.2)+1.9+2.25+0.3</f>
        <v>27.549999999999997</v>
      </c>
      <c r="K38" s="25">
        <v>1</v>
      </c>
      <c r="L38" s="22"/>
      <c r="M38" s="22"/>
      <c r="N38" s="22"/>
      <c r="O38" s="22"/>
      <c r="P38" s="14">
        <f>K38*J38*C36*P5</f>
        <v>54.824499999999993</v>
      </c>
      <c r="Q38" s="22"/>
    </row>
    <row r="39" spans="1:17" x14ac:dyDescent="0.2">
      <c r="A39" s="28"/>
      <c r="B39" s="44"/>
      <c r="C39" s="29"/>
      <c r="D39" s="28"/>
      <c r="E39" s="28"/>
      <c r="F39" s="28"/>
      <c r="G39" s="28"/>
      <c r="H39" s="28"/>
      <c r="I39" s="24">
        <v>4</v>
      </c>
      <c r="J39" s="14">
        <f>3*(6.7-0.8*2)+3*(5.7-0.7*2)</f>
        <v>28.200000000000003</v>
      </c>
      <c r="K39" s="25">
        <v>1</v>
      </c>
      <c r="L39" s="22"/>
      <c r="M39" s="22"/>
      <c r="N39" s="22"/>
      <c r="O39" s="22"/>
      <c r="P39" s="14">
        <f>K39*J39*P5</f>
        <v>56.118000000000002</v>
      </c>
      <c r="Q39" s="22"/>
    </row>
    <row r="40" spans="1:17" x14ac:dyDescent="0.2">
      <c r="A40" s="30"/>
      <c r="B40" s="45"/>
      <c r="C40" s="31"/>
      <c r="D40" s="30"/>
      <c r="E40" s="30"/>
      <c r="F40" s="30"/>
      <c r="G40" s="30"/>
      <c r="H40" s="30"/>
      <c r="I40" s="24" t="s">
        <v>81</v>
      </c>
      <c r="J40" s="14">
        <v>1.06</v>
      </c>
      <c r="K40" s="25">
        <v>205</v>
      </c>
      <c r="L40" s="22"/>
      <c r="M40" s="22">
        <f>K40*J40*C36*M5</f>
        <v>85.616200000000006</v>
      </c>
      <c r="N40" s="22"/>
      <c r="O40" s="22"/>
      <c r="P40" s="14"/>
      <c r="Q40" s="22"/>
    </row>
    <row r="41" spans="1:17" s="15" customFormat="1" x14ac:dyDescent="0.2">
      <c r="A41" s="115">
        <v>8</v>
      </c>
      <c r="B41" s="116" t="s">
        <v>88</v>
      </c>
      <c r="C41" s="117">
        <v>1</v>
      </c>
      <c r="D41" s="115">
        <f>49+1.8</f>
        <v>50.8</v>
      </c>
      <c r="E41" s="115">
        <v>0.2</v>
      </c>
      <c r="F41" s="115">
        <v>0.4</v>
      </c>
      <c r="G41" s="115">
        <f>D41*E41*0.3</f>
        <v>3.048</v>
      </c>
      <c r="H41" s="115">
        <f>D41*0.3*2</f>
        <v>30.479999999999997</v>
      </c>
      <c r="I41" s="118">
        <v>1</v>
      </c>
      <c r="J41" s="81">
        <f>50.75+0.4+3*(35*0.018)</f>
        <v>53.04</v>
      </c>
      <c r="K41" s="119">
        <v>2</v>
      </c>
      <c r="L41" s="80"/>
      <c r="M41" s="80"/>
      <c r="N41" s="80"/>
      <c r="O41" s="80"/>
      <c r="P41" s="81">
        <f>1.99*K41*J41</f>
        <v>211.0992</v>
      </c>
      <c r="Q41" s="80"/>
    </row>
    <row r="42" spans="1:17" s="15" customFormat="1" x14ac:dyDescent="0.2">
      <c r="A42" s="120"/>
      <c r="B42" s="121"/>
      <c r="C42" s="122"/>
      <c r="D42" s="120"/>
      <c r="E42" s="120"/>
      <c r="F42" s="120"/>
      <c r="G42" s="120"/>
      <c r="H42" s="120"/>
      <c r="I42" s="118">
        <v>2</v>
      </c>
      <c r="J42" s="81">
        <f>J41</f>
        <v>53.04</v>
      </c>
      <c r="K42" s="119">
        <v>2</v>
      </c>
      <c r="L42" s="80"/>
      <c r="M42" s="80"/>
      <c r="N42" s="80"/>
      <c r="O42" s="80"/>
      <c r="P42" s="81">
        <f>P41</f>
        <v>211.0992</v>
      </c>
      <c r="Q42" s="80"/>
    </row>
    <row r="43" spans="1:17" s="15" customFormat="1" x14ac:dyDescent="0.2">
      <c r="A43" s="120"/>
      <c r="B43" s="121"/>
      <c r="C43" s="122"/>
      <c r="D43" s="120"/>
      <c r="E43" s="120"/>
      <c r="F43" s="120"/>
      <c r="G43" s="120"/>
      <c r="H43" s="120"/>
      <c r="I43" s="118">
        <v>3</v>
      </c>
      <c r="J43" s="81">
        <f>6*3.8+2*(2+0.6)</f>
        <v>27.999999999999996</v>
      </c>
      <c r="K43" s="119">
        <v>1</v>
      </c>
      <c r="L43" s="80"/>
      <c r="M43" s="80"/>
      <c r="N43" s="80"/>
      <c r="O43" s="80"/>
      <c r="P43" s="81">
        <f>J43*K43*P5</f>
        <v>55.719999999999992</v>
      </c>
      <c r="Q43" s="80"/>
    </row>
    <row r="44" spans="1:17" s="15" customFormat="1" x14ac:dyDescent="0.2">
      <c r="A44" s="120"/>
      <c r="B44" s="121"/>
      <c r="C44" s="122"/>
      <c r="D44" s="120"/>
      <c r="E44" s="120"/>
      <c r="F44" s="120"/>
      <c r="G44" s="120"/>
      <c r="H44" s="120"/>
      <c r="I44" s="118">
        <v>4</v>
      </c>
      <c r="J44" s="81">
        <f>7*(7-0.5)</f>
        <v>45.5</v>
      </c>
      <c r="K44" s="119">
        <v>1</v>
      </c>
      <c r="L44" s="80"/>
      <c r="M44" s="80"/>
      <c r="N44" s="80"/>
      <c r="O44" s="80"/>
      <c r="P44" s="81">
        <f>J44*P5</f>
        <v>90.545000000000002</v>
      </c>
      <c r="Q44" s="80"/>
    </row>
    <row r="45" spans="1:17" s="15" customFormat="1" x14ac:dyDescent="0.2">
      <c r="A45" s="123"/>
      <c r="B45" s="124"/>
      <c r="C45" s="125"/>
      <c r="D45" s="123"/>
      <c r="E45" s="123"/>
      <c r="F45" s="123"/>
      <c r="G45" s="123"/>
      <c r="H45" s="123"/>
      <c r="I45" s="118" t="s">
        <v>81</v>
      </c>
      <c r="J45" s="81">
        <v>1.06</v>
      </c>
      <c r="K45" s="119">
        <v>262</v>
      </c>
      <c r="L45" s="80"/>
      <c r="M45" s="80">
        <f>J45*K45*M5</f>
        <v>109.42168000000001</v>
      </c>
      <c r="N45" s="80"/>
      <c r="O45" s="80"/>
      <c r="P45" s="81"/>
      <c r="Q45" s="80"/>
    </row>
    <row r="46" spans="1:17" x14ac:dyDescent="0.2">
      <c r="A46" s="26">
        <v>9</v>
      </c>
      <c r="B46" s="43" t="s">
        <v>89</v>
      </c>
      <c r="C46" s="27">
        <v>1</v>
      </c>
      <c r="D46" s="26">
        <f>56+1.8</f>
        <v>57.8</v>
      </c>
      <c r="E46" s="26">
        <v>0.2</v>
      </c>
      <c r="F46" s="26">
        <v>0.4</v>
      </c>
      <c r="G46" s="26">
        <f>D46*E46*0.3</f>
        <v>3.468</v>
      </c>
      <c r="H46" s="26">
        <f>D46*0.3*2</f>
        <v>34.68</v>
      </c>
      <c r="I46" s="24">
        <v>1</v>
      </c>
      <c r="J46" s="14">
        <f>57.75+0.4+3*(35*0.018)</f>
        <v>60.04</v>
      </c>
      <c r="K46" s="25">
        <v>2</v>
      </c>
      <c r="L46" s="22"/>
      <c r="M46" s="22"/>
      <c r="N46" s="22"/>
      <c r="O46" s="22"/>
      <c r="P46" s="14">
        <f>1.99*K46*J46</f>
        <v>238.95919999999998</v>
      </c>
      <c r="Q46" s="22"/>
    </row>
    <row r="47" spans="1:17" x14ac:dyDescent="0.2">
      <c r="A47" s="28"/>
      <c r="B47" s="44"/>
      <c r="C47" s="29"/>
      <c r="D47" s="28"/>
      <c r="E47" s="28"/>
      <c r="F47" s="28"/>
      <c r="G47" s="28"/>
      <c r="H47" s="28"/>
      <c r="I47" s="24">
        <v>2</v>
      </c>
      <c r="J47" s="14">
        <f>J46</f>
        <v>60.04</v>
      </c>
      <c r="K47" s="25">
        <v>2</v>
      </c>
      <c r="L47" s="22"/>
      <c r="M47" s="22"/>
      <c r="N47" s="22"/>
      <c r="O47" s="22"/>
      <c r="P47" s="14">
        <f>P46</f>
        <v>238.95919999999998</v>
      </c>
      <c r="Q47" s="22"/>
    </row>
    <row r="48" spans="1:17" x14ac:dyDescent="0.2">
      <c r="A48" s="28"/>
      <c r="B48" s="44"/>
      <c r="C48" s="29"/>
      <c r="D48" s="28"/>
      <c r="E48" s="28"/>
      <c r="F48" s="28"/>
      <c r="G48" s="28"/>
      <c r="H48" s="28"/>
      <c r="I48" s="24">
        <v>3</v>
      </c>
      <c r="J48" s="14">
        <f>7*3.8+2*(2+0.6)</f>
        <v>31.799999999999997</v>
      </c>
      <c r="K48" s="25">
        <v>1</v>
      </c>
      <c r="L48" s="22"/>
      <c r="M48" s="22"/>
      <c r="N48" s="22"/>
      <c r="O48" s="22"/>
      <c r="P48" s="14">
        <f>J48*K48*P5</f>
        <v>63.281999999999996</v>
      </c>
      <c r="Q48" s="22"/>
    </row>
    <row r="49" spans="1:19" x14ac:dyDescent="0.2">
      <c r="A49" s="28"/>
      <c r="B49" s="44"/>
      <c r="C49" s="29"/>
      <c r="D49" s="28"/>
      <c r="E49" s="28"/>
      <c r="F49" s="28"/>
      <c r="G49" s="28"/>
      <c r="H49" s="28"/>
      <c r="I49" s="24">
        <v>4</v>
      </c>
      <c r="J49" s="14">
        <f>8*(7-0.5-2)</f>
        <v>36</v>
      </c>
      <c r="K49" s="25">
        <v>1</v>
      </c>
      <c r="L49" s="22"/>
      <c r="M49" s="22"/>
      <c r="N49" s="22"/>
      <c r="O49" s="22"/>
      <c r="P49" s="14">
        <f>J49*P5</f>
        <v>71.64</v>
      </c>
      <c r="Q49" s="22"/>
    </row>
    <row r="50" spans="1:19" x14ac:dyDescent="0.2">
      <c r="A50" s="30"/>
      <c r="B50" s="45"/>
      <c r="C50" s="31"/>
      <c r="D50" s="30"/>
      <c r="E50" s="30"/>
      <c r="F50" s="30"/>
      <c r="G50" s="30"/>
      <c r="H50" s="30"/>
      <c r="I50" s="24" t="s">
        <v>81</v>
      </c>
      <c r="J50" s="14">
        <v>1.06</v>
      </c>
      <c r="K50" s="25">
        <v>298</v>
      </c>
      <c r="L50" s="22"/>
      <c r="M50" s="22">
        <f>J50*K50*M5</f>
        <v>124.45672</v>
      </c>
      <c r="N50" s="22"/>
      <c r="O50" s="22"/>
      <c r="P50" s="14"/>
      <c r="Q50" s="22"/>
    </row>
    <row r="51" spans="1:19" x14ac:dyDescent="0.2">
      <c r="A51" s="26">
        <v>10</v>
      </c>
      <c r="B51" s="43" t="s">
        <v>90</v>
      </c>
      <c r="C51" s="27">
        <v>1</v>
      </c>
      <c r="D51" s="26">
        <f>21+1.8</f>
        <v>22.8</v>
      </c>
      <c r="E51" s="26">
        <v>0.2</v>
      </c>
      <c r="F51" s="26">
        <v>0.4</v>
      </c>
      <c r="G51" s="26">
        <f>D51*E51*0.3</f>
        <v>1.3680000000000001</v>
      </c>
      <c r="H51" s="26">
        <f>D51*0.3*2</f>
        <v>13.68</v>
      </c>
      <c r="I51" s="24">
        <v>1</v>
      </c>
      <c r="J51" s="14">
        <f>22.75+0.4+1*(35*0.018)</f>
        <v>23.779999999999998</v>
      </c>
      <c r="K51" s="25">
        <v>2</v>
      </c>
      <c r="L51" s="22"/>
      <c r="M51" s="22"/>
      <c r="N51" s="22"/>
      <c r="O51" s="22"/>
      <c r="P51" s="14">
        <f>1.99*K51*J51</f>
        <v>94.64439999999999</v>
      </c>
      <c r="Q51" s="22"/>
    </row>
    <row r="52" spans="1:19" x14ac:dyDescent="0.2">
      <c r="A52" s="28"/>
      <c r="B52" s="44"/>
      <c r="C52" s="29"/>
      <c r="D52" s="28"/>
      <c r="E52" s="28"/>
      <c r="F52" s="28"/>
      <c r="G52" s="28"/>
      <c r="H52" s="28"/>
      <c r="I52" s="24">
        <v>2</v>
      </c>
      <c r="J52" s="14">
        <f>J51</f>
        <v>23.779999999999998</v>
      </c>
      <c r="K52" s="25">
        <v>2</v>
      </c>
      <c r="L52" s="22"/>
      <c r="M52" s="22"/>
      <c r="N52" s="22"/>
      <c r="O52" s="22"/>
      <c r="P52" s="14">
        <f>P51</f>
        <v>94.64439999999999</v>
      </c>
      <c r="Q52" s="22"/>
    </row>
    <row r="53" spans="1:19" x14ac:dyDescent="0.2">
      <c r="A53" s="28"/>
      <c r="B53" s="44"/>
      <c r="C53" s="29"/>
      <c r="D53" s="28"/>
      <c r="E53" s="28"/>
      <c r="F53" s="28"/>
      <c r="G53" s="28"/>
      <c r="H53" s="28"/>
      <c r="I53" s="24">
        <v>3</v>
      </c>
      <c r="J53" s="14">
        <f>2*3.8+2*(2+0.6)</f>
        <v>12.8</v>
      </c>
      <c r="K53" s="25">
        <v>1</v>
      </c>
      <c r="L53" s="22"/>
      <c r="M53" s="22"/>
      <c r="N53" s="22"/>
      <c r="O53" s="22"/>
      <c r="P53" s="14">
        <f>J53*K53*P5</f>
        <v>25.472000000000001</v>
      </c>
      <c r="Q53" s="22"/>
    </row>
    <row r="54" spans="1:19" x14ac:dyDescent="0.2">
      <c r="A54" s="28"/>
      <c r="B54" s="44"/>
      <c r="C54" s="29"/>
      <c r="D54" s="28"/>
      <c r="E54" s="28"/>
      <c r="F54" s="28"/>
      <c r="G54" s="28"/>
      <c r="H54" s="28"/>
      <c r="I54" s="24">
        <v>4</v>
      </c>
      <c r="J54" s="14">
        <f>3*(7-0.5-2)</f>
        <v>13.5</v>
      </c>
      <c r="K54" s="25">
        <v>1</v>
      </c>
      <c r="L54" s="22"/>
      <c r="M54" s="22"/>
      <c r="N54" s="22"/>
      <c r="O54" s="22"/>
      <c r="P54" s="14">
        <f>J54*P5</f>
        <v>26.864999999999998</v>
      </c>
      <c r="Q54" s="22"/>
    </row>
    <row r="55" spans="1:19" x14ac:dyDescent="0.2">
      <c r="A55" s="30"/>
      <c r="B55" s="45"/>
      <c r="C55" s="31"/>
      <c r="D55" s="30"/>
      <c r="E55" s="30"/>
      <c r="F55" s="30"/>
      <c r="G55" s="30"/>
      <c r="H55" s="30"/>
      <c r="I55" s="24" t="s">
        <v>81</v>
      </c>
      <c r="J55" s="14">
        <v>1.06</v>
      </c>
      <c r="K55" s="25">
        <v>120</v>
      </c>
      <c r="L55" s="22"/>
      <c r="M55" s="22">
        <f>J55*K55*M5</f>
        <v>50.116800000000005</v>
      </c>
      <c r="N55" s="22"/>
      <c r="O55" s="22"/>
      <c r="P55" s="14"/>
      <c r="Q55" s="22"/>
    </row>
    <row r="56" spans="1:19" s="15" customFormat="1" ht="11.25" customHeight="1" x14ac:dyDescent="0.2">
      <c r="A56" s="115">
        <v>11</v>
      </c>
      <c r="B56" s="116" t="s">
        <v>91</v>
      </c>
      <c r="C56" s="117">
        <v>2</v>
      </c>
      <c r="D56" s="115">
        <f>42+0.9</f>
        <v>42.9</v>
      </c>
      <c r="E56" s="115">
        <v>0.2</v>
      </c>
      <c r="F56" s="115">
        <v>0.4</v>
      </c>
      <c r="G56" s="115">
        <f>D56*E56*0.3*C56</f>
        <v>5.1479999999999997</v>
      </c>
      <c r="H56" s="115">
        <f>D56*0.3*2*C56</f>
        <v>51.48</v>
      </c>
      <c r="I56" s="118">
        <v>1</v>
      </c>
      <c r="J56" s="81">
        <f>42.85+0.4+3*(35*0.018)</f>
        <v>45.14</v>
      </c>
      <c r="K56" s="119">
        <v>2</v>
      </c>
      <c r="L56" s="80"/>
      <c r="M56" s="80"/>
      <c r="N56" s="80"/>
      <c r="O56" s="80"/>
      <c r="P56" s="81">
        <f>1.99*K56*J56*C56</f>
        <v>359.31439999999998</v>
      </c>
      <c r="Q56" s="80"/>
      <c r="S56" s="126"/>
    </row>
    <row r="57" spans="1:19" s="15" customFormat="1" x14ac:dyDescent="0.2">
      <c r="A57" s="120"/>
      <c r="B57" s="121"/>
      <c r="C57" s="122"/>
      <c r="D57" s="120"/>
      <c r="E57" s="120"/>
      <c r="F57" s="120"/>
      <c r="G57" s="120"/>
      <c r="H57" s="120"/>
      <c r="I57" s="118">
        <v>2</v>
      </c>
      <c r="J57" s="81">
        <f>J56</f>
        <v>45.14</v>
      </c>
      <c r="K57" s="119">
        <v>2</v>
      </c>
      <c r="L57" s="80"/>
      <c r="M57" s="80"/>
      <c r="N57" s="80"/>
      <c r="O57" s="80"/>
      <c r="P57" s="81">
        <f>P56</f>
        <v>359.31439999999998</v>
      </c>
      <c r="Q57" s="80"/>
      <c r="S57" s="126"/>
    </row>
    <row r="58" spans="1:19" s="15" customFormat="1" x14ac:dyDescent="0.2">
      <c r="A58" s="120"/>
      <c r="B58" s="121"/>
      <c r="C58" s="122"/>
      <c r="D58" s="120"/>
      <c r="E58" s="120"/>
      <c r="F58" s="120"/>
      <c r="G58" s="120"/>
      <c r="H58" s="120"/>
      <c r="I58" s="118">
        <v>3</v>
      </c>
      <c r="J58" s="81">
        <f>5*3.8+1*(2+0.6)+(2+0.65)</f>
        <v>24.25</v>
      </c>
      <c r="K58" s="119">
        <v>2</v>
      </c>
      <c r="L58" s="80"/>
      <c r="M58" s="80"/>
      <c r="N58" s="80"/>
      <c r="O58" s="80"/>
      <c r="P58" s="81">
        <f>J58*K58*P5*C56</f>
        <v>193.03</v>
      </c>
      <c r="Q58" s="80"/>
      <c r="S58" s="126"/>
    </row>
    <row r="59" spans="1:19" s="15" customFormat="1" x14ac:dyDescent="0.2">
      <c r="A59" s="120"/>
      <c r="B59" s="121"/>
      <c r="C59" s="122"/>
      <c r="D59" s="120"/>
      <c r="E59" s="120"/>
      <c r="F59" s="120"/>
      <c r="G59" s="120"/>
      <c r="H59" s="120"/>
      <c r="I59" s="118">
        <v>4</v>
      </c>
      <c r="J59" s="81">
        <f>6*(7-0.5-2)</f>
        <v>27</v>
      </c>
      <c r="K59" s="119">
        <v>2</v>
      </c>
      <c r="L59" s="80"/>
      <c r="M59" s="80"/>
      <c r="N59" s="80"/>
      <c r="O59" s="80"/>
      <c r="P59" s="81">
        <f>J59*P5*K59*C56</f>
        <v>214.92</v>
      </c>
      <c r="Q59" s="80"/>
      <c r="S59" s="126"/>
    </row>
    <row r="60" spans="1:19" s="15" customFormat="1" x14ac:dyDescent="0.2">
      <c r="A60" s="123"/>
      <c r="B60" s="124"/>
      <c r="C60" s="125"/>
      <c r="D60" s="123"/>
      <c r="E60" s="123"/>
      <c r="F60" s="123"/>
      <c r="G60" s="123"/>
      <c r="H60" s="123"/>
      <c r="I60" s="118" t="s">
        <v>81</v>
      </c>
      <c r="J60" s="81">
        <v>1.06</v>
      </c>
      <c r="K60" s="119">
        <v>90</v>
      </c>
      <c r="L60" s="80"/>
      <c r="M60" s="80">
        <f>J60*K60*M5*C56</f>
        <v>75.175200000000004</v>
      </c>
      <c r="N60" s="80"/>
      <c r="O60" s="80"/>
      <c r="P60" s="81"/>
      <c r="Q60" s="80"/>
      <c r="S60" s="126"/>
    </row>
    <row r="61" spans="1:19" x14ac:dyDescent="0.2">
      <c r="A61" s="26">
        <v>12</v>
      </c>
      <c r="B61" s="43" t="s">
        <v>92</v>
      </c>
      <c r="C61" s="27">
        <v>2</v>
      </c>
      <c r="D61" s="26">
        <f>7+1.8</f>
        <v>8.8000000000000007</v>
      </c>
      <c r="E61" s="26">
        <v>0.2</v>
      </c>
      <c r="F61" s="26">
        <v>0.4</v>
      </c>
      <c r="G61" s="26">
        <f>D61*E61*0.3*C61</f>
        <v>1.056</v>
      </c>
      <c r="H61" s="26">
        <f>D61*0.3*2*C61</f>
        <v>10.56</v>
      </c>
      <c r="I61" s="24">
        <v>1</v>
      </c>
      <c r="J61" s="14">
        <f>8.75+0.4</f>
        <v>9.15</v>
      </c>
      <c r="K61" s="25">
        <v>2</v>
      </c>
      <c r="L61" s="22"/>
      <c r="M61" s="22"/>
      <c r="N61" s="22"/>
      <c r="O61" s="22"/>
      <c r="P61" s="14">
        <f>1.99*K61*J61*C61</f>
        <v>72.834000000000003</v>
      </c>
      <c r="Q61" s="22"/>
    </row>
    <row r="62" spans="1:19" x14ac:dyDescent="0.2">
      <c r="A62" s="28"/>
      <c r="B62" s="44"/>
      <c r="C62" s="29"/>
      <c r="D62" s="28"/>
      <c r="E62" s="28"/>
      <c r="F62" s="28"/>
      <c r="G62" s="28"/>
      <c r="H62" s="28"/>
      <c r="I62" s="24">
        <v>2</v>
      </c>
      <c r="J62" s="14">
        <f>J61</f>
        <v>9.15</v>
      </c>
      <c r="K62" s="25">
        <v>2</v>
      </c>
      <c r="L62" s="22"/>
      <c r="M62" s="22"/>
      <c r="N62" s="22"/>
      <c r="O62" s="22"/>
      <c r="P62" s="14">
        <f>P61</f>
        <v>72.834000000000003</v>
      </c>
      <c r="Q62" s="22"/>
    </row>
    <row r="63" spans="1:19" x14ac:dyDescent="0.2">
      <c r="A63" s="28"/>
      <c r="B63" s="44"/>
      <c r="C63" s="29"/>
      <c r="D63" s="28"/>
      <c r="E63" s="28"/>
      <c r="F63" s="28"/>
      <c r="G63" s="28"/>
      <c r="H63" s="28"/>
      <c r="I63" s="24">
        <v>3</v>
      </c>
      <c r="J63" s="14">
        <f>2.2*2+0.6*2</f>
        <v>5.6000000000000005</v>
      </c>
      <c r="K63" s="25">
        <v>1</v>
      </c>
      <c r="L63" s="22"/>
      <c r="M63" s="22"/>
      <c r="N63" s="22"/>
      <c r="O63" s="22"/>
      <c r="P63" s="14">
        <f>J63*K63*P5*C61</f>
        <v>22.288</v>
      </c>
      <c r="Q63" s="22"/>
    </row>
    <row r="64" spans="1:19" x14ac:dyDescent="0.2">
      <c r="A64" s="28"/>
      <c r="B64" s="44"/>
      <c r="C64" s="29"/>
      <c r="D64" s="28"/>
      <c r="E64" s="28"/>
      <c r="F64" s="28"/>
      <c r="G64" s="28"/>
      <c r="H64" s="28"/>
      <c r="I64" s="24">
        <v>4</v>
      </c>
      <c r="J64" s="14">
        <v>5</v>
      </c>
      <c r="K64" s="25">
        <v>1</v>
      </c>
      <c r="L64" s="22"/>
      <c r="M64" s="22"/>
      <c r="N64" s="22"/>
      <c r="O64" s="22"/>
      <c r="P64" s="14">
        <f>J64*P5*K64*C61</f>
        <v>19.899999999999999</v>
      </c>
      <c r="Q64" s="22"/>
    </row>
    <row r="65" spans="1:17" x14ac:dyDescent="0.2">
      <c r="A65" s="30"/>
      <c r="B65" s="45"/>
      <c r="C65" s="31"/>
      <c r="D65" s="30"/>
      <c r="E65" s="30"/>
      <c r="F65" s="30"/>
      <c r="G65" s="30"/>
      <c r="H65" s="30"/>
      <c r="I65" s="24" t="s">
        <v>81</v>
      </c>
      <c r="J65" s="14">
        <v>1.06</v>
      </c>
      <c r="K65" s="25">
        <v>46</v>
      </c>
      <c r="L65" s="22"/>
      <c r="M65" s="22">
        <f>J65*K65*M5*C61</f>
        <v>38.422880000000006</v>
      </c>
      <c r="N65" s="22"/>
      <c r="O65" s="22"/>
      <c r="P65" s="14"/>
      <c r="Q65" s="22"/>
    </row>
    <row r="66" spans="1:17" x14ac:dyDescent="0.2">
      <c r="A66" s="26">
        <v>13</v>
      </c>
      <c r="B66" s="43" t="s">
        <v>93</v>
      </c>
      <c r="C66" s="27">
        <v>4</v>
      </c>
      <c r="D66" s="26">
        <v>4.9000000000000004</v>
      </c>
      <c r="E66" s="26">
        <v>0.2</v>
      </c>
      <c r="F66" s="26">
        <v>0.4</v>
      </c>
      <c r="G66" s="26">
        <f>D66*E66*0.3*C66</f>
        <v>1.1760000000000002</v>
      </c>
      <c r="H66" s="26">
        <f>D66*0.3*2*C66</f>
        <v>11.76</v>
      </c>
      <c r="I66" s="24">
        <v>1</v>
      </c>
      <c r="J66" s="14">
        <f>4.85+0.4</f>
        <v>5.25</v>
      </c>
      <c r="K66" s="25">
        <v>2</v>
      </c>
      <c r="L66" s="22"/>
      <c r="M66" s="22"/>
      <c r="N66" s="22"/>
      <c r="O66" s="22"/>
      <c r="P66" s="14">
        <f>1.99*K66*J66*C66</f>
        <v>83.58</v>
      </c>
      <c r="Q66" s="22"/>
    </row>
    <row r="67" spans="1:17" x14ac:dyDescent="0.2">
      <c r="A67" s="28"/>
      <c r="B67" s="44"/>
      <c r="C67" s="29"/>
      <c r="D67" s="28"/>
      <c r="E67" s="28"/>
      <c r="F67" s="28"/>
      <c r="G67" s="28"/>
      <c r="H67" s="28"/>
      <c r="I67" s="24">
        <v>2</v>
      </c>
      <c r="J67" s="14">
        <f>J66</f>
        <v>5.25</v>
      </c>
      <c r="K67" s="25">
        <v>2</v>
      </c>
      <c r="L67" s="22"/>
      <c r="M67" s="22"/>
      <c r="N67" s="22"/>
      <c r="O67" s="22"/>
      <c r="P67" s="14">
        <f>P66</f>
        <v>83.58</v>
      </c>
      <c r="Q67" s="22"/>
    </row>
    <row r="68" spans="1:17" x14ac:dyDescent="0.2">
      <c r="A68" s="28"/>
      <c r="B68" s="44"/>
      <c r="C68" s="29"/>
      <c r="D68" s="28"/>
      <c r="E68" s="28"/>
      <c r="F68" s="28"/>
      <c r="G68" s="28"/>
      <c r="H68" s="28"/>
      <c r="I68" s="24">
        <v>3</v>
      </c>
      <c r="J68" s="14">
        <f>1.2*2+0.6*2+0.5</f>
        <v>4.0999999999999996</v>
      </c>
      <c r="K68" s="25">
        <v>2</v>
      </c>
      <c r="L68" s="22"/>
      <c r="M68" s="22"/>
      <c r="N68" s="22"/>
      <c r="O68" s="22"/>
      <c r="P68" s="14">
        <f>J68*K68*P5*C66</f>
        <v>65.271999999999991</v>
      </c>
      <c r="Q68" s="22"/>
    </row>
    <row r="69" spans="1:17" x14ac:dyDescent="0.2">
      <c r="A69" s="28"/>
      <c r="B69" s="44"/>
      <c r="C69" s="29"/>
      <c r="D69" s="28"/>
      <c r="E69" s="28"/>
      <c r="F69" s="28"/>
      <c r="G69" s="28"/>
      <c r="H69" s="28"/>
      <c r="I69" s="24">
        <v>4</v>
      </c>
      <c r="J69" s="14">
        <f>4.5-2*(4.5/6)</f>
        <v>3</v>
      </c>
      <c r="K69" s="25">
        <v>2</v>
      </c>
      <c r="L69" s="22"/>
      <c r="M69" s="22"/>
      <c r="N69" s="22"/>
      <c r="O69" s="22"/>
      <c r="P69" s="14">
        <f>J69*P5*K69*C66</f>
        <v>47.76</v>
      </c>
      <c r="Q69" s="22"/>
    </row>
    <row r="70" spans="1:17" x14ac:dyDescent="0.2">
      <c r="A70" s="30"/>
      <c r="B70" s="45"/>
      <c r="C70" s="31"/>
      <c r="D70" s="30"/>
      <c r="E70" s="30"/>
      <c r="F70" s="30"/>
      <c r="G70" s="30"/>
      <c r="H70" s="30"/>
      <c r="I70" s="24" t="s">
        <v>81</v>
      </c>
      <c r="J70" s="14">
        <v>1.06</v>
      </c>
      <c r="K70" s="25">
        <v>23</v>
      </c>
      <c r="L70" s="22"/>
      <c r="M70" s="22">
        <f>J70*K70*M5*C66</f>
        <v>38.422880000000006</v>
      </c>
      <c r="N70" s="22"/>
      <c r="O70" s="22"/>
      <c r="P70" s="14"/>
      <c r="Q70" s="22"/>
    </row>
    <row r="71" spans="1:17" x14ac:dyDescent="0.2">
      <c r="A71" s="26">
        <v>14</v>
      </c>
      <c r="B71" s="43" t="s">
        <v>94</v>
      </c>
      <c r="C71" s="27">
        <v>4</v>
      </c>
      <c r="D71" s="26">
        <v>7.4</v>
      </c>
      <c r="E71" s="26">
        <v>0.2</v>
      </c>
      <c r="F71" s="26">
        <v>0.4</v>
      </c>
      <c r="G71" s="26">
        <f>C71*D71*E71*0.3</f>
        <v>1.7760000000000002</v>
      </c>
      <c r="H71" s="26">
        <f>C71*D71*2*0.3</f>
        <v>17.760000000000002</v>
      </c>
      <c r="I71" s="24">
        <v>1</v>
      </c>
      <c r="J71" s="14">
        <f>7.35+0.4</f>
        <v>7.75</v>
      </c>
      <c r="K71" s="25">
        <v>2</v>
      </c>
      <c r="L71" s="22"/>
      <c r="M71" s="22"/>
      <c r="N71" s="22"/>
      <c r="O71" s="22"/>
      <c r="P71" s="14">
        <f>1.99*K71*J71*C71</f>
        <v>123.38</v>
      </c>
      <c r="Q71" s="22"/>
    </row>
    <row r="72" spans="1:17" x14ac:dyDescent="0.2">
      <c r="A72" s="28"/>
      <c r="B72" s="44"/>
      <c r="C72" s="29"/>
      <c r="D72" s="28"/>
      <c r="E72" s="28"/>
      <c r="F72" s="28"/>
      <c r="G72" s="28"/>
      <c r="H72" s="28"/>
      <c r="I72" s="24">
        <v>2</v>
      </c>
      <c r="J72" s="14">
        <f>J71</f>
        <v>7.75</v>
      </c>
      <c r="K72" s="25">
        <v>2</v>
      </c>
      <c r="L72" s="22"/>
      <c r="M72" s="22"/>
      <c r="N72" s="22"/>
      <c r="O72" s="22"/>
      <c r="P72" s="14">
        <f>P71</f>
        <v>123.38</v>
      </c>
      <c r="Q72" s="22"/>
    </row>
    <row r="73" spans="1:17" x14ac:dyDescent="0.2">
      <c r="A73" s="28"/>
      <c r="B73" s="44"/>
      <c r="C73" s="29"/>
      <c r="D73" s="28"/>
      <c r="E73" s="28"/>
      <c r="F73" s="28"/>
      <c r="G73" s="28"/>
      <c r="H73" s="28"/>
      <c r="I73" s="24">
        <v>3</v>
      </c>
      <c r="J73" s="14">
        <v>2.15</v>
      </c>
      <c r="K73" s="25">
        <v>2</v>
      </c>
      <c r="L73" s="22"/>
      <c r="M73" s="22"/>
      <c r="N73" s="22"/>
      <c r="O73" s="22"/>
      <c r="P73" s="14">
        <f>J73*K73*P5*C71</f>
        <v>34.228000000000002</v>
      </c>
      <c r="Q73" s="22"/>
    </row>
    <row r="74" spans="1:17" x14ac:dyDescent="0.2">
      <c r="A74" s="28"/>
      <c r="B74" s="44"/>
      <c r="C74" s="29"/>
      <c r="D74" s="28"/>
      <c r="E74" s="28"/>
      <c r="F74" s="28"/>
      <c r="G74" s="28"/>
      <c r="H74" s="28"/>
      <c r="I74" s="24">
        <v>4</v>
      </c>
      <c r="J74" s="14">
        <v>4.5999999999999996</v>
      </c>
      <c r="K74" s="25">
        <v>2</v>
      </c>
      <c r="L74" s="22"/>
      <c r="M74" s="22"/>
      <c r="N74" s="22"/>
      <c r="O74" s="22"/>
      <c r="P74" s="14">
        <f>J74*P5*K74*C71</f>
        <v>73.231999999999999</v>
      </c>
      <c r="Q74" s="22"/>
    </row>
    <row r="75" spans="1:17" x14ac:dyDescent="0.2">
      <c r="A75" s="30"/>
      <c r="B75" s="45"/>
      <c r="C75" s="31"/>
      <c r="D75" s="30"/>
      <c r="E75" s="30"/>
      <c r="F75" s="30"/>
      <c r="G75" s="30"/>
      <c r="H75" s="30"/>
      <c r="I75" s="24" t="s">
        <v>81</v>
      </c>
      <c r="J75" s="14">
        <v>1.06</v>
      </c>
      <c r="K75" s="25">
        <v>36</v>
      </c>
      <c r="L75" s="22"/>
      <c r="M75" s="22">
        <f>J75*K75*M5*C71</f>
        <v>60.140160000000009</v>
      </c>
      <c r="N75" s="22"/>
      <c r="O75" s="22"/>
      <c r="P75" s="14"/>
      <c r="Q75" s="22"/>
    </row>
    <row r="76" spans="1:17" x14ac:dyDescent="0.2">
      <c r="A76" s="26">
        <v>15</v>
      </c>
      <c r="B76" s="43" t="s">
        <v>95</v>
      </c>
      <c r="C76" s="27">
        <v>24</v>
      </c>
      <c r="D76" s="26">
        <v>1.8</v>
      </c>
      <c r="E76" s="26">
        <v>0.2</v>
      </c>
      <c r="F76" s="26">
        <v>0.4</v>
      </c>
      <c r="G76" s="26">
        <f>C76*D76*E76*0.3</f>
        <v>2.5920000000000001</v>
      </c>
      <c r="H76" s="26">
        <f>C76*D76*2*0.3</f>
        <v>25.92</v>
      </c>
      <c r="I76" s="24">
        <v>1</v>
      </c>
      <c r="J76" s="14">
        <f>1.75+0.4</f>
        <v>2.15</v>
      </c>
      <c r="K76" s="25">
        <v>3</v>
      </c>
      <c r="L76" s="22"/>
      <c r="M76" s="22"/>
      <c r="N76" s="22"/>
      <c r="O76" s="22"/>
      <c r="P76" s="14">
        <f>1.99*K76*J76*C76</f>
        <v>308.05200000000002</v>
      </c>
      <c r="Q76" s="22"/>
    </row>
    <row r="77" spans="1:17" x14ac:dyDescent="0.2">
      <c r="A77" s="28"/>
      <c r="B77" s="44"/>
      <c r="C77" s="29"/>
      <c r="D77" s="28"/>
      <c r="E77" s="28"/>
      <c r="F77" s="28"/>
      <c r="G77" s="28"/>
      <c r="H77" s="28"/>
      <c r="I77" s="24">
        <v>2</v>
      </c>
      <c r="J77" s="14">
        <f>J76</f>
        <v>2.15</v>
      </c>
      <c r="K77" s="25">
        <v>2</v>
      </c>
      <c r="L77" s="22"/>
      <c r="M77" s="22"/>
      <c r="N77" s="22"/>
      <c r="O77" s="22"/>
      <c r="P77" s="14">
        <f>J77*K77*C76*1.99</f>
        <v>205.36799999999997</v>
      </c>
      <c r="Q77" s="22"/>
    </row>
    <row r="78" spans="1:17" x14ac:dyDescent="0.2">
      <c r="A78" s="30"/>
      <c r="B78" s="45"/>
      <c r="C78" s="31"/>
      <c r="D78" s="30"/>
      <c r="E78" s="30"/>
      <c r="F78" s="30"/>
      <c r="G78" s="30"/>
      <c r="H78" s="30"/>
      <c r="I78" s="24" t="s">
        <v>81</v>
      </c>
      <c r="J78" s="14">
        <v>1.06</v>
      </c>
      <c r="K78" s="25">
        <v>13</v>
      </c>
      <c r="L78" s="22"/>
      <c r="M78" s="22">
        <f>J78*K78*M5*C76</f>
        <v>130.30368000000001</v>
      </c>
      <c r="N78" s="22"/>
      <c r="O78" s="22"/>
      <c r="P78" s="14"/>
      <c r="Q78" s="22"/>
    </row>
    <row r="79" spans="1:17" x14ac:dyDescent="0.2">
      <c r="A79" s="26">
        <v>16</v>
      </c>
      <c r="B79" s="43" t="s">
        <v>96</v>
      </c>
      <c r="C79" s="27">
        <v>8</v>
      </c>
      <c r="D79" s="26">
        <v>2.2999999999999998</v>
      </c>
      <c r="E79" s="26">
        <v>0.2</v>
      </c>
      <c r="F79" s="26">
        <v>0.4</v>
      </c>
      <c r="G79" s="26">
        <f>C79*D79*E79*0.3</f>
        <v>1.1039999999999999</v>
      </c>
      <c r="H79" s="26">
        <f>C79*D79*2*0.3</f>
        <v>11.04</v>
      </c>
      <c r="I79" s="24">
        <v>1</v>
      </c>
      <c r="J79" s="14">
        <f>2.25+0.4</f>
        <v>2.65</v>
      </c>
      <c r="K79" s="25">
        <v>3</v>
      </c>
      <c r="L79" s="22"/>
      <c r="M79" s="22"/>
      <c r="N79" s="22"/>
      <c r="O79" s="22"/>
      <c r="P79" s="14">
        <f>1.99*K79*J79*C79</f>
        <v>126.56399999999999</v>
      </c>
      <c r="Q79" s="22"/>
    </row>
    <row r="80" spans="1:17" x14ac:dyDescent="0.2">
      <c r="A80" s="28"/>
      <c r="B80" s="44"/>
      <c r="C80" s="29"/>
      <c r="D80" s="28"/>
      <c r="E80" s="28"/>
      <c r="F80" s="28"/>
      <c r="G80" s="28"/>
      <c r="H80" s="28"/>
      <c r="I80" s="24">
        <v>2</v>
      </c>
      <c r="J80" s="14">
        <f>J79</f>
        <v>2.65</v>
      </c>
      <c r="K80" s="25">
        <v>2</v>
      </c>
      <c r="L80" s="22"/>
      <c r="M80" s="22"/>
      <c r="N80" s="22"/>
      <c r="O80" s="22"/>
      <c r="P80" s="14">
        <f>J80*K80*C79*1.99</f>
        <v>84.375999999999991</v>
      </c>
      <c r="Q80" s="22"/>
    </row>
    <row r="81" spans="1:17" x14ac:dyDescent="0.2">
      <c r="A81" s="30"/>
      <c r="B81" s="45"/>
      <c r="C81" s="31"/>
      <c r="D81" s="30"/>
      <c r="E81" s="30"/>
      <c r="F81" s="30"/>
      <c r="G81" s="30"/>
      <c r="H81" s="30"/>
      <c r="I81" s="24" t="s">
        <v>81</v>
      </c>
      <c r="J81" s="14">
        <v>1.06</v>
      </c>
      <c r="K81" s="25">
        <v>16</v>
      </c>
      <c r="L81" s="22"/>
      <c r="M81" s="22">
        <f>J81*K81*M5*C79</f>
        <v>53.457920000000001</v>
      </c>
      <c r="N81" s="22"/>
      <c r="O81" s="22"/>
      <c r="P81" s="14"/>
      <c r="Q81" s="22"/>
    </row>
    <row r="82" spans="1:17" x14ac:dyDescent="0.2">
      <c r="A82" s="26">
        <v>17</v>
      </c>
      <c r="B82" s="43" t="s">
        <v>97</v>
      </c>
      <c r="C82" s="27">
        <v>1</v>
      </c>
      <c r="D82" s="26">
        <v>261.8</v>
      </c>
      <c r="E82" s="26">
        <v>0.1</v>
      </c>
      <c r="F82" s="26">
        <v>0.4</v>
      </c>
      <c r="G82" s="26">
        <f>C82*D82*E82*0.3</f>
        <v>7.854000000000001</v>
      </c>
      <c r="H82" s="26">
        <f>C82*D82*2*0.35</f>
        <v>183.26</v>
      </c>
      <c r="I82" s="24">
        <v>1</v>
      </c>
      <c r="J82" s="14">
        <f>D82-0.05+0.4</f>
        <v>262.14999999999998</v>
      </c>
      <c r="K82" s="25">
        <v>2</v>
      </c>
      <c r="L82" s="22"/>
      <c r="M82" s="22"/>
      <c r="N82" s="22"/>
      <c r="O82" s="14">
        <f>1.208*K82*J82*C82</f>
        <v>633.35439999999994</v>
      </c>
      <c r="P82" s="14"/>
      <c r="Q82" s="22"/>
    </row>
    <row r="83" spans="1:17" x14ac:dyDescent="0.2">
      <c r="A83" s="30"/>
      <c r="B83" s="45"/>
      <c r="C83" s="31"/>
      <c r="D83" s="30"/>
      <c r="E83" s="30"/>
      <c r="F83" s="30"/>
      <c r="G83" s="30"/>
      <c r="H83" s="30"/>
      <c r="I83" s="24" t="s">
        <v>81</v>
      </c>
      <c r="J83" s="14">
        <v>0.45</v>
      </c>
      <c r="K83" s="25">
        <v>1300</v>
      </c>
      <c r="L83" s="22">
        <f>L5*K83*J83*C82</f>
        <v>129.87</v>
      </c>
      <c r="M83" s="22"/>
      <c r="N83" s="22"/>
      <c r="O83" s="22"/>
      <c r="P83" s="14"/>
      <c r="Q83" s="22"/>
    </row>
    <row r="84" spans="1:17" x14ac:dyDescent="0.2">
      <c r="A84" s="30"/>
      <c r="B84" s="45"/>
      <c r="C84" s="31"/>
      <c r="D84" s="30"/>
      <c r="E84" s="30"/>
      <c r="F84" s="30"/>
      <c r="G84" s="30"/>
      <c r="H84" s="30"/>
      <c r="I84" s="24"/>
      <c r="J84" s="14"/>
      <c r="K84" s="25"/>
      <c r="L84" s="22"/>
      <c r="M84" s="22"/>
      <c r="N84" s="22"/>
      <c r="O84" s="22"/>
      <c r="P84" s="14"/>
      <c r="Q84" s="22"/>
    </row>
    <row r="85" spans="1:17" x14ac:dyDescent="0.2">
      <c r="A85" s="30"/>
      <c r="B85" s="45"/>
      <c r="C85" s="157" t="s">
        <v>133</v>
      </c>
      <c r="D85" s="157"/>
      <c r="E85" s="157"/>
      <c r="F85" s="157"/>
      <c r="G85" s="157"/>
      <c r="H85" s="157"/>
      <c r="I85" s="141" t="s">
        <v>75</v>
      </c>
      <c r="J85" s="141"/>
      <c r="K85" s="141"/>
      <c r="L85" s="141"/>
      <c r="M85" s="141"/>
      <c r="N85" s="141"/>
      <c r="O85" s="141"/>
      <c r="P85" s="141"/>
      <c r="Q85" s="141"/>
    </row>
    <row r="86" spans="1:17" x14ac:dyDescent="0.2">
      <c r="A86" s="154"/>
      <c r="B86" s="155"/>
      <c r="C86" s="155"/>
      <c r="D86" s="155"/>
      <c r="E86" s="155"/>
      <c r="F86" s="156"/>
      <c r="G86" s="10" t="s">
        <v>4</v>
      </c>
      <c r="H86" s="10" t="s">
        <v>58</v>
      </c>
      <c r="I86" s="12" t="s">
        <v>77</v>
      </c>
      <c r="J86" s="10" t="s">
        <v>80</v>
      </c>
      <c r="K86" s="13" t="s">
        <v>79</v>
      </c>
      <c r="L86" s="10" t="s">
        <v>6</v>
      </c>
      <c r="M86" s="10" t="s">
        <v>7</v>
      </c>
      <c r="N86" s="10" t="s">
        <v>8</v>
      </c>
      <c r="O86" s="10" t="s">
        <v>11</v>
      </c>
      <c r="P86" s="10" t="s">
        <v>14</v>
      </c>
      <c r="Q86" s="10" t="s">
        <v>12</v>
      </c>
    </row>
    <row r="87" spans="1:17" x14ac:dyDescent="0.2">
      <c r="A87" s="141" t="s">
        <v>132</v>
      </c>
      <c r="B87" s="141"/>
      <c r="C87" s="141"/>
      <c r="D87" s="141"/>
      <c r="E87" s="141"/>
      <c r="F87" s="141"/>
      <c r="G87" s="22">
        <f>SUM(G6:G83)</f>
        <v>38.358000000000004</v>
      </c>
      <c r="H87" s="22">
        <f>SUM(H5:H83)</f>
        <v>492.26</v>
      </c>
      <c r="I87" s="24"/>
      <c r="J87" s="14"/>
      <c r="K87" s="25"/>
      <c r="L87" s="22">
        <f>L83</f>
        <v>129.87</v>
      </c>
      <c r="M87" s="22">
        <f>SUM(M7:M83)</f>
        <v>1017.7886800000001</v>
      </c>
      <c r="N87" s="22"/>
      <c r="O87" s="14">
        <f>SUM(O82:O83)</f>
        <v>633.35439999999994</v>
      </c>
      <c r="P87" s="14">
        <f>SUM(P6:P83)</f>
        <v>5997.342599999999</v>
      </c>
      <c r="Q87" s="22"/>
    </row>
    <row r="88" spans="1:17" x14ac:dyDescent="0.2">
      <c r="A88" s="20"/>
      <c r="B88" s="20"/>
      <c r="C88" s="20"/>
      <c r="D88" s="20"/>
      <c r="E88" s="20"/>
      <c r="F88" s="20"/>
      <c r="O88" s="19"/>
    </row>
    <row r="89" spans="1:17" x14ac:dyDescent="0.2">
      <c r="O89" s="19"/>
    </row>
    <row r="90" spans="1:17" ht="26.25" x14ac:dyDescent="0.4">
      <c r="A90" s="162" t="s">
        <v>253</v>
      </c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4"/>
    </row>
    <row r="91" spans="1:17" x14ac:dyDescent="0.2">
      <c r="A91" s="22"/>
      <c r="B91" s="11" t="s">
        <v>98</v>
      </c>
      <c r="C91" s="23"/>
      <c r="D91" s="141" t="s">
        <v>136</v>
      </c>
      <c r="E91" s="141"/>
      <c r="F91" s="141"/>
      <c r="G91" s="141"/>
      <c r="H91" s="141"/>
      <c r="I91" s="141" t="s">
        <v>135</v>
      </c>
      <c r="J91" s="141"/>
      <c r="K91" s="141"/>
      <c r="L91" s="141"/>
      <c r="M91" s="141"/>
      <c r="N91" s="141"/>
      <c r="O91" s="141"/>
      <c r="P91" s="141"/>
      <c r="Q91" s="141"/>
    </row>
    <row r="92" spans="1:17" x14ac:dyDescent="0.2">
      <c r="A92" s="11" t="s">
        <v>0</v>
      </c>
      <c r="B92" s="11" t="s">
        <v>1</v>
      </c>
      <c r="C92" s="9" t="s">
        <v>78</v>
      </c>
      <c r="D92" s="10" t="s">
        <v>73</v>
      </c>
      <c r="E92" s="10" t="s">
        <v>72</v>
      </c>
      <c r="F92" s="11" t="s">
        <v>74</v>
      </c>
      <c r="G92" s="10" t="s">
        <v>4</v>
      </c>
      <c r="H92" s="10" t="s">
        <v>58</v>
      </c>
      <c r="I92" s="12" t="s">
        <v>77</v>
      </c>
      <c r="J92" s="10" t="s">
        <v>80</v>
      </c>
      <c r="K92" s="13" t="s">
        <v>79</v>
      </c>
      <c r="L92" s="10" t="s">
        <v>6</v>
      </c>
      <c r="M92" s="10" t="s">
        <v>7</v>
      </c>
      <c r="N92" s="10" t="s">
        <v>8</v>
      </c>
      <c r="O92" s="10" t="s">
        <v>11</v>
      </c>
      <c r="P92" s="10" t="s">
        <v>14</v>
      </c>
      <c r="Q92" s="10" t="s">
        <v>12</v>
      </c>
    </row>
    <row r="93" spans="1:17" x14ac:dyDescent="0.2">
      <c r="A93" s="154"/>
      <c r="B93" s="155"/>
      <c r="C93" s="156"/>
      <c r="D93" s="22"/>
      <c r="E93" s="22"/>
      <c r="F93" s="22"/>
      <c r="G93" s="22"/>
      <c r="H93" s="22"/>
      <c r="I93" s="24"/>
      <c r="J93" s="14"/>
      <c r="K93" s="25"/>
      <c r="L93" s="14">
        <v>0.222</v>
      </c>
      <c r="M93" s="14">
        <v>0.39400000000000002</v>
      </c>
      <c r="N93" s="14">
        <v>0.61599999999999999</v>
      </c>
      <c r="O93" s="14">
        <v>1.208</v>
      </c>
      <c r="P93" s="14">
        <v>1.99</v>
      </c>
      <c r="Q93" s="14">
        <v>2.9830000000000001</v>
      </c>
    </row>
    <row r="94" spans="1:17" x14ac:dyDescent="0.2">
      <c r="A94" s="22"/>
      <c r="B94" s="11" t="s">
        <v>99</v>
      </c>
      <c r="C94" s="23"/>
      <c r="D94" s="22">
        <v>50.8</v>
      </c>
      <c r="E94" s="22">
        <v>1.8</v>
      </c>
      <c r="F94" s="22">
        <v>0.1</v>
      </c>
      <c r="G94" s="22">
        <f>D94*E94*F94</f>
        <v>9.1440000000000001</v>
      </c>
      <c r="H94" s="32">
        <f>D94*E94</f>
        <v>91.44</v>
      </c>
      <c r="I94" s="24" t="s">
        <v>109</v>
      </c>
      <c r="J94" s="14">
        <f>7.3+0.16</f>
        <v>7.46</v>
      </c>
      <c r="K94" s="25">
        <v>47</v>
      </c>
      <c r="L94" s="22"/>
      <c r="M94" s="22">
        <f>J94*K94*M5</f>
        <v>138.14428000000001</v>
      </c>
      <c r="N94" s="22"/>
      <c r="O94" s="22"/>
      <c r="P94" s="14"/>
      <c r="Q94" s="22"/>
    </row>
    <row r="95" spans="1:17" x14ac:dyDescent="0.2">
      <c r="A95" s="22"/>
      <c r="B95" s="11" t="s">
        <v>100</v>
      </c>
      <c r="C95" s="23"/>
      <c r="D95" s="22">
        <v>22.8</v>
      </c>
      <c r="E95" s="22">
        <v>1.8</v>
      </c>
      <c r="F95" s="22">
        <v>0.1</v>
      </c>
      <c r="G95" s="22">
        <f>D95*E95*F95</f>
        <v>4.1040000000000001</v>
      </c>
      <c r="H95" s="32">
        <f>D95*E95</f>
        <v>41.04</v>
      </c>
      <c r="I95" s="24" t="s">
        <v>110</v>
      </c>
      <c r="J95" s="14">
        <f>9.6+0.16</f>
        <v>9.76</v>
      </c>
      <c r="K95" s="25">
        <v>42</v>
      </c>
      <c r="L95" s="22"/>
      <c r="M95" s="22">
        <f>J95*K95*M5</f>
        <v>161.50848000000002</v>
      </c>
      <c r="N95" s="22"/>
      <c r="O95" s="22"/>
      <c r="P95" s="14"/>
      <c r="Q95" s="22"/>
    </row>
    <row r="96" spans="1:17" x14ac:dyDescent="0.2">
      <c r="A96" s="22"/>
      <c r="B96" s="11" t="s">
        <v>101</v>
      </c>
      <c r="C96" s="23"/>
      <c r="D96" s="22">
        <v>4.2</v>
      </c>
      <c r="E96" s="22">
        <v>1.8</v>
      </c>
      <c r="F96" s="22">
        <v>0.1</v>
      </c>
      <c r="G96" s="22">
        <f>D96*E96*F96</f>
        <v>0.75600000000000012</v>
      </c>
      <c r="H96" s="32">
        <f>D96*E96</f>
        <v>7.5600000000000005</v>
      </c>
      <c r="I96" s="24" t="s">
        <v>111</v>
      </c>
      <c r="J96" s="14">
        <f>4.8+0.16</f>
        <v>4.96</v>
      </c>
      <c r="K96" s="25">
        <v>38</v>
      </c>
      <c r="L96" s="22"/>
      <c r="M96" s="22">
        <f>J96*K96*M5</f>
        <v>74.261120000000005</v>
      </c>
      <c r="N96" s="22"/>
      <c r="O96" s="22"/>
      <c r="P96" s="14"/>
      <c r="Q96" s="22"/>
    </row>
    <row r="97" spans="1:17" x14ac:dyDescent="0.2">
      <c r="A97" s="22"/>
      <c r="B97" s="11" t="s">
        <v>103</v>
      </c>
      <c r="C97" s="23"/>
      <c r="D97" s="22">
        <v>18</v>
      </c>
      <c r="E97" s="22">
        <v>1.8</v>
      </c>
      <c r="F97" s="22">
        <v>0.1</v>
      </c>
      <c r="G97" s="22">
        <f>D97*E97*F97*2</f>
        <v>6.48</v>
      </c>
      <c r="H97" s="32">
        <f>D97*E97*2</f>
        <v>64.8</v>
      </c>
      <c r="I97" s="24" t="s">
        <v>112</v>
      </c>
      <c r="J97" s="14">
        <f>7.3+0.16</f>
        <v>7.46</v>
      </c>
      <c r="K97" s="25">
        <v>47</v>
      </c>
      <c r="L97" s="22"/>
      <c r="M97" s="22">
        <f>J97*K97*M5</f>
        <v>138.14428000000001</v>
      </c>
      <c r="N97" s="22"/>
      <c r="O97" s="22"/>
      <c r="P97" s="14"/>
      <c r="Q97" s="22"/>
    </row>
    <row r="98" spans="1:17" x14ac:dyDescent="0.2">
      <c r="A98" s="22"/>
      <c r="B98" s="11" t="s">
        <v>102</v>
      </c>
      <c r="C98" s="23"/>
      <c r="D98" s="22">
        <v>6.1</v>
      </c>
      <c r="E98" s="22">
        <v>1.8</v>
      </c>
      <c r="F98" s="22">
        <v>0.1</v>
      </c>
      <c r="G98" s="22">
        <f>D98*E98*F98*2</f>
        <v>2.1960000000000002</v>
      </c>
      <c r="H98" s="32">
        <f>D98*E98*2</f>
        <v>21.96</v>
      </c>
      <c r="I98" s="24" t="s">
        <v>113</v>
      </c>
      <c r="J98" s="14">
        <f>6.25+0.16</f>
        <v>6.41</v>
      </c>
      <c r="K98" s="25">
        <v>60</v>
      </c>
      <c r="L98" s="22"/>
      <c r="M98" s="22">
        <f>J98*K98*M5</f>
        <v>151.53240000000002</v>
      </c>
      <c r="N98" s="22"/>
      <c r="O98" s="22"/>
      <c r="P98" s="14"/>
      <c r="Q98" s="22"/>
    </row>
    <row r="99" spans="1:17" x14ac:dyDescent="0.2">
      <c r="A99" s="22"/>
      <c r="B99" s="11" t="s">
        <v>104</v>
      </c>
      <c r="C99" s="23"/>
      <c r="D99" s="22"/>
      <c r="E99" s="22"/>
      <c r="F99" s="22"/>
      <c r="G99" s="22">
        <f>125.279*2*0.1</f>
        <v>25.055800000000001</v>
      </c>
      <c r="H99" s="32">
        <f>125.279*2</f>
        <v>250.55799999999999</v>
      </c>
      <c r="I99" s="24" t="s">
        <v>114</v>
      </c>
      <c r="J99" s="14">
        <f>3.5+0.16</f>
        <v>3.66</v>
      </c>
      <c r="K99" s="25">
        <v>62</v>
      </c>
      <c r="L99" s="22"/>
      <c r="M99" s="22">
        <f>J99*K99*M5</f>
        <v>89.406480000000016</v>
      </c>
      <c r="N99" s="22"/>
      <c r="O99" s="22"/>
      <c r="P99" s="14"/>
      <c r="Q99" s="22"/>
    </row>
    <row r="100" spans="1:17" x14ac:dyDescent="0.2">
      <c r="A100" s="22"/>
      <c r="B100" s="11" t="s">
        <v>105</v>
      </c>
      <c r="C100" s="23"/>
      <c r="D100" s="22">
        <v>57.8</v>
      </c>
      <c r="E100" s="22">
        <v>1.8</v>
      </c>
      <c r="F100" s="22">
        <v>0.1</v>
      </c>
      <c r="G100" s="22">
        <f>D100*E100*F100</f>
        <v>10.404</v>
      </c>
      <c r="H100" s="32">
        <f>D100*E100</f>
        <v>104.03999999999999</v>
      </c>
      <c r="I100" s="24" t="s">
        <v>115</v>
      </c>
      <c r="J100" s="14">
        <f>1+0.15+0.16</f>
        <v>1.3099999999999998</v>
      </c>
      <c r="K100" s="25">
        <f>K94*2</f>
        <v>94</v>
      </c>
      <c r="L100" s="22"/>
      <c r="M100" s="22">
        <f>J100*K100*M5</f>
        <v>48.517159999999997</v>
      </c>
      <c r="N100" s="22"/>
      <c r="O100" s="22"/>
      <c r="P100" s="14"/>
      <c r="Q100" s="22"/>
    </row>
    <row r="101" spans="1:17" x14ac:dyDescent="0.2">
      <c r="A101" s="22"/>
      <c r="B101" s="11" t="s">
        <v>106</v>
      </c>
      <c r="C101" s="23"/>
      <c r="D101" s="22">
        <v>39</v>
      </c>
      <c r="E101" s="22">
        <v>1.8</v>
      </c>
      <c r="F101" s="22">
        <v>0.1</v>
      </c>
      <c r="G101" s="22">
        <f>D101*E101*F101</f>
        <v>7.0200000000000005</v>
      </c>
      <c r="H101" s="32">
        <f>D101*E101</f>
        <v>70.2</v>
      </c>
      <c r="I101" s="24" t="s">
        <v>116</v>
      </c>
      <c r="J101" s="14">
        <f>0.85+0.16</f>
        <v>1.01</v>
      </c>
      <c r="K101" s="25">
        <v>124</v>
      </c>
      <c r="L101" s="22"/>
      <c r="M101" s="22">
        <f>J101*K101*M5</f>
        <v>49.344560000000001</v>
      </c>
      <c r="N101" s="22"/>
      <c r="O101" s="22"/>
      <c r="P101" s="14"/>
      <c r="Q101" s="22"/>
    </row>
    <row r="102" spans="1:17" x14ac:dyDescent="0.2">
      <c r="A102" s="22"/>
      <c r="B102" s="11" t="s">
        <v>107</v>
      </c>
      <c r="C102" s="23"/>
      <c r="D102" s="22"/>
      <c r="E102" s="22"/>
      <c r="F102" s="22"/>
      <c r="G102" s="22">
        <f>H102*0.1</f>
        <v>4.2880000000000003</v>
      </c>
      <c r="H102" s="32">
        <v>42.88</v>
      </c>
      <c r="I102" s="24" t="s">
        <v>117</v>
      </c>
      <c r="J102" s="14">
        <f>1+0.15+0.16</f>
        <v>1.3099999999999998</v>
      </c>
      <c r="K102" s="25">
        <v>93</v>
      </c>
      <c r="L102" s="22"/>
      <c r="M102" s="22">
        <f>J102*K102*M5</f>
        <v>48.001019999999997</v>
      </c>
      <c r="N102" s="22"/>
      <c r="O102" s="22"/>
      <c r="P102" s="14"/>
      <c r="Q102" s="22"/>
    </row>
    <row r="103" spans="1:17" x14ac:dyDescent="0.2">
      <c r="A103" s="22"/>
      <c r="B103" s="11" t="s">
        <v>108</v>
      </c>
      <c r="C103" s="23"/>
      <c r="D103" s="22">
        <v>8.6999999999999993</v>
      </c>
      <c r="E103" s="22">
        <v>8.0500000000000007</v>
      </c>
      <c r="F103" s="22">
        <v>0.1</v>
      </c>
      <c r="G103" s="22">
        <f>D103*E103*F103</f>
        <v>7.0034999999999998</v>
      </c>
      <c r="H103" s="32">
        <f>D103+E103</f>
        <v>16.75</v>
      </c>
      <c r="I103" s="24" t="s">
        <v>118</v>
      </c>
      <c r="J103" s="14">
        <f>1.7+0.16</f>
        <v>1.8599999999999999</v>
      </c>
      <c r="K103" s="25">
        <v>84</v>
      </c>
      <c r="L103" s="22"/>
      <c r="M103" s="22">
        <f>J103*K103*M5</f>
        <v>61.558559999999993</v>
      </c>
      <c r="N103" s="22"/>
      <c r="O103" s="22"/>
      <c r="P103" s="14"/>
      <c r="Q103" s="22"/>
    </row>
    <row r="104" spans="1:17" x14ac:dyDescent="0.2">
      <c r="A104" s="33"/>
      <c r="B104" s="47"/>
      <c r="C104" s="35"/>
      <c r="D104" s="34"/>
      <c r="E104" s="34"/>
      <c r="F104" s="34"/>
      <c r="G104" s="34"/>
      <c r="H104" s="36"/>
      <c r="I104" s="24" t="s">
        <v>119</v>
      </c>
      <c r="J104" s="14">
        <f>1.2+0.16</f>
        <v>1.3599999999999999</v>
      </c>
      <c r="K104" s="25">
        <v>44</v>
      </c>
      <c r="L104" s="22"/>
      <c r="M104" s="22">
        <f>J104*K104*M5</f>
        <v>23.57696</v>
      </c>
      <c r="N104" s="22"/>
      <c r="O104" s="22"/>
      <c r="P104" s="14"/>
      <c r="Q104" s="22"/>
    </row>
    <row r="105" spans="1:17" x14ac:dyDescent="0.2">
      <c r="A105" s="37"/>
      <c r="H105" s="38"/>
      <c r="I105" s="24" t="s">
        <v>120</v>
      </c>
      <c r="J105" s="14">
        <f>0.65+0.16</f>
        <v>0.81</v>
      </c>
      <c r="K105" s="25">
        <v>44</v>
      </c>
      <c r="L105" s="22"/>
      <c r="M105" s="22">
        <f>J105*K105*M5</f>
        <v>14.042160000000001</v>
      </c>
      <c r="N105" s="22"/>
      <c r="O105" s="22"/>
      <c r="P105" s="14"/>
      <c r="Q105" s="22"/>
    </row>
    <row r="106" spans="1:17" x14ac:dyDescent="0.2">
      <c r="A106" s="37"/>
      <c r="H106" s="38"/>
      <c r="I106" s="24" t="s">
        <v>121</v>
      </c>
      <c r="J106" s="14">
        <v>0.86</v>
      </c>
      <c r="K106" s="25">
        <v>152</v>
      </c>
      <c r="L106" s="22"/>
      <c r="M106" s="22">
        <f>J106*K106*M5</f>
        <v>51.503680000000003</v>
      </c>
      <c r="N106" s="22"/>
      <c r="O106" s="22"/>
      <c r="P106" s="14"/>
      <c r="Q106" s="22"/>
    </row>
    <row r="107" spans="1:17" x14ac:dyDescent="0.2">
      <c r="A107" s="37"/>
      <c r="H107" s="38"/>
      <c r="I107" s="24" t="s">
        <v>122</v>
      </c>
      <c r="J107" s="14">
        <f>1.75+0.16</f>
        <v>1.91</v>
      </c>
      <c r="K107" s="25">
        <v>555</v>
      </c>
      <c r="L107" s="22"/>
      <c r="M107" s="22">
        <f>J107*K107*M5</f>
        <v>417.65969999999999</v>
      </c>
      <c r="N107" s="22"/>
      <c r="O107" s="22"/>
      <c r="P107" s="14"/>
      <c r="Q107" s="22"/>
    </row>
    <row r="108" spans="1:17" x14ac:dyDescent="0.2">
      <c r="A108" s="37"/>
      <c r="H108" s="38"/>
      <c r="I108" s="24" t="s">
        <v>123</v>
      </c>
      <c r="J108" s="14">
        <f>1.25+0.16</f>
        <v>1.41</v>
      </c>
      <c r="K108" s="25">
        <v>94</v>
      </c>
      <c r="L108" s="22"/>
      <c r="M108" s="22">
        <f>J108*K108*M5</f>
        <v>52.220759999999999</v>
      </c>
      <c r="N108" s="22"/>
      <c r="O108" s="22"/>
      <c r="P108" s="14"/>
      <c r="Q108" s="22"/>
    </row>
    <row r="109" spans="1:17" x14ac:dyDescent="0.2">
      <c r="A109" s="37"/>
      <c r="H109" s="38"/>
      <c r="I109" s="24" t="s">
        <v>124</v>
      </c>
      <c r="J109" s="14">
        <v>0.81</v>
      </c>
      <c r="K109" s="25">
        <v>94</v>
      </c>
      <c r="L109" s="22"/>
      <c r="M109" s="22">
        <f>J109*K109*M5</f>
        <v>29.99916</v>
      </c>
      <c r="N109" s="22"/>
      <c r="O109" s="22"/>
      <c r="P109" s="14"/>
      <c r="Q109" s="22"/>
    </row>
    <row r="110" spans="1:17" x14ac:dyDescent="0.2">
      <c r="A110" s="37"/>
      <c r="H110" s="38"/>
      <c r="I110" s="24" t="s">
        <v>125</v>
      </c>
      <c r="J110" s="14">
        <v>0.96</v>
      </c>
      <c r="K110" s="25">
        <v>124</v>
      </c>
      <c r="L110" s="22"/>
      <c r="M110" s="22">
        <f>J110*K110*M5</f>
        <v>46.901759999999996</v>
      </c>
      <c r="N110" s="22"/>
      <c r="O110" s="22"/>
      <c r="P110" s="14"/>
      <c r="Q110" s="22"/>
    </row>
    <row r="111" spans="1:17" x14ac:dyDescent="0.2">
      <c r="A111" s="37"/>
      <c r="H111" s="38"/>
      <c r="I111" s="24" t="s">
        <v>126</v>
      </c>
      <c r="J111" s="14">
        <f>1.15+0.16</f>
        <v>1.3099999999999998</v>
      </c>
      <c r="K111" s="25">
        <v>184</v>
      </c>
      <c r="L111" s="22"/>
      <c r="M111" s="22">
        <f>J111*K111*M5</f>
        <v>94.969759999999994</v>
      </c>
      <c r="N111" s="22"/>
      <c r="O111" s="22"/>
      <c r="P111" s="14"/>
      <c r="Q111" s="22"/>
    </row>
    <row r="112" spans="1:17" x14ac:dyDescent="0.2">
      <c r="A112" s="37"/>
      <c r="H112" s="38"/>
      <c r="I112" s="24" t="s">
        <v>127</v>
      </c>
      <c r="J112" s="14">
        <f>0.7+0.16</f>
        <v>0.86</v>
      </c>
      <c r="K112" s="25">
        <v>156</v>
      </c>
      <c r="L112" s="22"/>
      <c r="M112" s="22">
        <f>J112*K112*M5</f>
        <v>52.85904</v>
      </c>
      <c r="N112" s="22"/>
      <c r="O112" s="22"/>
      <c r="P112" s="14"/>
      <c r="Q112" s="22"/>
    </row>
    <row r="113" spans="1:17" x14ac:dyDescent="0.2">
      <c r="A113" s="37"/>
      <c r="H113" s="38"/>
      <c r="I113" s="24" t="s">
        <v>128</v>
      </c>
      <c r="J113" s="14">
        <f>0.9+0.16</f>
        <v>1.06</v>
      </c>
      <c r="K113" s="25">
        <v>134</v>
      </c>
      <c r="L113" s="22"/>
      <c r="M113" s="22">
        <f>J113*K113*M5</f>
        <v>55.963760000000008</v>
      </c>
      <c r="N113" s="22"/>
      <c r="O113" s="22"/>
      <c r="P113" s="14"/>
      <c r="Q113" s="22"/>
    </row>
    <row r="114" spans="1:17" x14ac:dyDescent="0.2">
      <c r="A114" s="37"/>
      <c r="H114" s="38"/>
      <c r="I114" s="24" t="s">
        <v>129</v>
      </c>
      <c r="J114" s="14">
        <f>1.75+0.16</f>
        <v>1.91</v>
      </c>
      <c r="K114" s="25">
        <v>1012</v>
      </c>
      <c r="L114" s="22"/>
      <c r="M114" s="22">
        <f>J114*K114*M5</f>
        <v>761.57047999999998</v>
      </c>
      <c r="N114" s="22"/>
      <c r="O114" s="22"/>
      <c r="P114" s="14"/>
      <c r="Q114" s="22"/>
    </row>
    <row r="115" spans="1:17" x14ac:dyDescent="0.2">
      <c r="A115" s="37"/>
      <c r="H115" s="38"/>
      <c r="I115" s="24" t="s">
        <v>130</v>
      </c>
      <c r="J115" s="14">
        <f>2.25+0.16</f>
        <v>2.41</v>
      </c>
      <c r="K115" s="25">
        <f>170*2</f>
        <v>340</v>
      </c>
      <c r="L115" s="22"/>
      <c r="M115" s="22">
        <f>J115*K115*M5</f>
        <v>322.84360000000004</v>
      </c>
      <c r="N115" s="22"/>
      <c r="O115" s="22"/>
      <c r="P115" s="14"/>
      <c r="Q115" s="22"/>
    </row>
    <row r="116" spans="1:17" x14ac:dyDescent="0.2">
      <c r="A116" s="39"/>
      <c r="B116" s="48"/>
      <c r="C116" s="41"/>
      <c r="D116" s="40"/>
      <c r="E116" s="40"/>
      <c r="F116" s="40"/>
      <c r="G116" s="40"/>
      <c r="H116" s="42"/>
      <c r="I116" s="24" t="s">
        <v>192</v>
      </c>
      <c r="J116" s="14">
        <f>24*7*6+12*6*6+6*7*7+8*7*1+2*6*1+4*7*1</f>
        <v>1830</v>
      </c>
      <c r="K116" s="25"/>
      <c r="L116" s="22">
        <f>J116*L93</f>
        <v>406.26</v>
      </c>
      <c r="M116" s="22"/>
      <c r="N116" s="22"/>
      <c r="O116" s="22"/>
      <c r="P116" s="14"/>
      <c r="Q116" s="22"/>
    </row>
    <row r="117" spans="1:17" x14ac:dyDescent="0.2">
      <c r="A117" s="154" t="s">
        <v>131</v>
      </c>
      <c r="B117" s="155"/>
      <c r="C117" s="155"/>
      <c r="D117" s="155"/>
      <c r="E117" s="155"/>
      <c r="F117" s="156"/>
      <c r="G117" s="22">
        <f>SUM(G94:G103)</f>
        <v>76.451300000000003</v>
      </c>
      <c r="H117" s="22">
        <f>SUM(H94:H116)</f>
        <v>711.22799999999995</v>
      </c>
      <c r="I117" s="24"/>
      <c r="J117" s="14"/>
      <c r="K117" s="25"/>
      <c r="L117" s="22">
        <f>L116</f>
        <v>406.26</v>
      </c>
      <c r="M117" s="14">
        <f>SUM(M93:M116)</f>
        <v>2884.9231600000003</v>
      </c>
      <c r="N117" s="22"/>
      <c r="O117" s="22"/>
      <c r="P117" s="14"/>
      <c r="Q117" s="22"/>
    </row>
    <row r="118" spans="1:17" x14ac:dyDescent="0.2">
      <c r="A118" s="20"/>
      <c r="B118" s="20"/>
      <c r="C118" s="20"/>
      <c r="D118" s="20"/>
      <c r="E118" s="20"/>
      <c r="F118" s="20"/>
      <c r="M118" s="19"/>
    </row>
    <row r="120" spans="1:17" ht="26.25" x14ac:dyDescent="0.4">
      <c r="A120" s="162" t="s">
        <v>275</v>
      </c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4"/>
    </row>
    <row r="121" spans="1:17" x14ac:dyDescent="0.2">
      <c r="A121" s="158" t="s">
        <v>0</v>
      </c>
      <c r="B121" s="158" t="s">
        <v>1</v>
      </c>
      <c r="C121" s="157" t="s">
        <v>133</v>
      </c>
      <c r="D121" s="157"/>
      <c r="E121" s="157"/>
      <c r="F121" s="157"/>
      <c r="G121" s="157"/>
      <c r="H121" s="157"/>
      <c r="I121" s="141" t="s">
        <v>75</v>
      </c>
      <c r="J121" s="141"/>
      <c r="K121" s="141"/>
      <c r="L121" s="141"/>
      <c r="M121" s="141"/>
      <c r="N121" s="141"/>
      <c r="O121" s="141"/>
      <c r="P121" s="141"/>
      <c r="Q121" s="141"/>
    </row>
    <row r="122" spans="1:17" x14ac:dyDescent="0.2">
      <c r="A122" s="159"/>
      <c r="B122" s="159"/>
      <c r="C122" s="9" t="s">
        <v>78</v>
      </c>
      <c r="D122" s="10" t="s">
        <v>73</v>
      </c>
      <c r="E122" s="10" t="s">
        <v>72</v>
      </c>
      <c r="F122" s="11" t="s">
        <v>74</v>
      </c>
      <c r="G122" s="10" t="s">
        <v>4</v>
      </c>
      <c r="H122" s="10" t="s">
        <v>58</v>
      </c>
      <c r="I122" s="12" t="s">
        <v>77</v>
      </c>
      <c r="J122" s="10" t="s">
        <v>80</v>
      </c>
      <c r="K122" s="13" t="s">
        <v>79</v>
      </c>
      <c r="L122" s="10" t="s">
        <v>6</v>
      </c>
      <c r="M122" s="10" t="s">
        <v>7</v>
      </c>
      <c r="N122" s="10" t="s">
        <v>8</v>
      </c>
      <c r="O122" s="10" t="s">
        <v>11</v>
      </c>
      <c r="P122" s="10" t="s">
        <v>14</v>
      </c>
      <c r="Q122" s="10" t="s">
        <v>12</v>
      </c>
    </row>
    <row r="123" spans="1:17" x14ac:dyDescent="0.2">
      <c r="A123" s="160" t="s">
        <v>134</v>
      </c>
      <c r="B123" s="161"/>
      <c r="C123" s="23"/>
      <c r="D123" s="22"/>
      <c r="E123" s="22"/>
      <c r="F123" s="22"/>
      <c r="G123" s="22"/>
      <c r="H123" s="22"/>
      <c r="I123" s="24"/>
      <c r="J123" s="14"/>
      <c r="K123" s="25"/>
      <c r="L123" s="14">
        <v>0.222</v>
      </c>
      <c r="M123" s="14">
        <v>0.39400000000000002</v>
      </c>
      <c r="N123" s="14">
        <v>0.61599999999999999</v>
      </c>
      <c r="O123" s="14">
        <v>1.208</v>
      </c>
      <c r="P123" s="14">
        <v>1.99</v>
      </c>
      <c r="Q123" s="14">
        <v>2.9830000000000001</v>
      </c>
    </row>
    <row r="124" spans="1:17" s="15" customFormat="1" x14ac:dyDescent="0.2">
      <c r="A124" s="26">
        <v>1</v>
      </c>
      <c r="B124" s="43" t="s">
        <v>137</v>
      </c>
      <c r="C124" s="27">
        <v>2</v>
      </c>
      <c r="D124" s="26">
        <v>19.8</v>
      </c>
      <c r="E124" s="26">
        <v>0.3</v>
      </c>
      <c r="F124" s="26">
        <v>0.5</v>
      </c>
      <c r="G124" s="26">
        <f>C124*D124*E124*(F124-0.1)</f>
        <v>4.7520000000000007</v>
      </c>
      <c r="H124" s="26">
        <f>C124*D124*(F124-0.1)*2</f>
        <v>31.680000000000003</v>
      </c>
      <c r="I124" s="24">
        <v>1</v>
      </c>
      <c r="J124" s="14">
        <f>19.75+2*0.3+1*35*0.018</f>
        <v>20.98</v>
      </c>
      <c r="K124" s="25">
        <v>2</v>
      </c>
      <c r="L124" s="22"/>
      <c r="M124" s="22"/>
      <c r="N124" s="22"/>
      <c r="O124" s="22"/>
      <c r="P124" s="14">
        <f>J124*P123*C124*K124</f>
        <v>167.0008</v>
      </c>
      <c r="Q124" s="22"/>
    </row>
    <row r="125" spans="1:17" s="15" customFormat="1" x14ac:dyDescent="0.2">
      <c r="A125" s="28"/>
      <c r="B125" s="44"/>
      <c r="C125" s="29"/>
      <c r="D125" s="28"/>
      <c r="E125" s="28"/>
      <c r="F125" s="28"/>
      <c r="G125" s="28"/>
      <c r="H125" s="28"/>
      <c r="I125" s="24">
        <v>2</v>
      </c>
      <c r="J125" s="14">
        <f>19.75-1.6+2*0.15+1*35*0.018</f>
        <v>19.079999999999998</v>
      </c>
      <c r="K125" s="25">
        <v>2</v>
      </c>
      <c r="L125" s="22"/>
      <c r="M125" s="22"/>
      <c r="N125" s="22"/>
      <c r="O125" s="22"/>
      <c r="P125" s="14">
        <f>J125*P123*C124*K125</f>
        <v>151.87679999999997</v>
      </c>
      <c r="Q125" s="22"/>
    </row>
    <row r="126" spans="1:17" s="15" customFormat="1" x14ac:dyDescent="0.2">
      <c r="A126" s="28"/>
      <c r="B126" s="44"/>
      <c r="C126" s="29"/>
      <c r="D126" s="28"/>
      <c r="E126" s="28"/>
      <c r="F126" s="28"/>
      <c r="G126" s="28"/>
      <c r="H126" s="28"/>
      <c r="I126" s="24" t="s">
        <v>140</v>
      </c>
      <c r="J126" s="14">
        <f>2*(1.6+0.65+1.5+0.4+1.5)</f>
        <v>11.3</v>
      </c>
      <c r="K126" s="25">
        <v>2</v>
      </c>
      <c r="L126" s="22"/>
      <c r="M126" s="22"/>
      <c r="N126" s="22"/>
      <c r="O126" s="22"/>
      <c r="P126" s="14">
        <f>K126*P123*J126*C124</f>
        <v>89.948000000000008</v>
      </c>
      <c r="Q126" s="22"/>
    </row>
    <row r="127" spans="1:17" s="15" customFormat="1" x14ac:dyDescent="0.2">
      <c r="A127" s="28"/>
      <c r="B127" s="44"/>
      <c r="C127" s="29"/>
      <c r="D127" s="28"/>
      <c r="E127" s="28"/>
      <c r="F127" s="28"/>
      <c r="G127" s="28"/>
      <c r="H127" s="28"/>
      <c r="I127" s="24">
        <v>5</v>
      </c>
      <c r="J127" s="14">
        <f>2*(6-1.2-1.1)+6-1.1-1.1</f>
        <v>11.2</v>
      </c>
      <c r="K127" s="25">
        <v>2</v>
      </c>
      <c r="L127" s="22"/>
      <c r="M127" s="22"/>
      <c r="N127" s="22"/>
      <c r="O127" s="22"/>
      <c r="P127" s="14">
        <f>J127*K127*P123*C124</f>
        <v>89.152000000000001</v>
      </c>
      <c r="Q127" s="22"/>
    </row>
    <row r="128" spans="1:17" s="15" customFormat="1" x14ac:dyDescent="0.2">
      <c r="A128" s="28"/>
      <c r="B128" s="44"/>
      <c r="C128" s="29"/>
      <c r="D128" s="28"/>
      <c r="E128" s="28"/>
      <c r="F128" s="28"/>
      <c r="G128" s="28"/>
      <c r="H128" s="28"/>
      <c r="I128" s="24">
        <v>6</v>
      </c>
      <c r="J128" s="14">
        <f>0.75+0.15+0.65</f>
        <v>1.55</v>
      </c>
      <c r="K128" s="25">
        <v>2</v>
      </c>
      <c r="L128" s="22"/>
      <c r="M128" s="22"/>
      <c r="N128" s="22"/>
      <c r="O128" s="22"/>
      <c r="P128" s="14">
        <f>P123*K128*J128*C124</f>
        <v>12.338000000000001</v>
      </c>
      <c r="Q128" s="22"/>
    </row>
    <row r="129" spans="1:17" s="15" customFormat="1" x14ac:dyDescent="0.2">
      <c r="A129" s="28"/>
      <c r="B129" s="44"/>
      <c r="C129" s="29"/>
      <c r="D129" s="28"/>
      <c r="E129" s="28"/>
      <c r="F129" s="28"/>
      <c r="G129" s="28"/>
      <c r="H129" s="28"/>
      <c r="I129" s="24" t="s">
        <v>138</v>
      </c>
      <c r="J129" s="14">
        <v>1.26</v>
      </c>
      <c r="K129" s="25">
        <v>10</v>
      </c>
      <c r="L129" s="22"/>
      <c r="M129" s="22">
        <f>M123*K129*J129*C124</f>
        <v>9.9288000000000007</v>
      </c>
      <c r="N129" s="22"/>
      <c r="O129" s="22"/>
      <c r="P129" s="14"/>
      <c r="Q129" s="22"/>
    </row>
    <row r="130" spans="1:17" s="15" customFormat="1" x14ac:dyDescent="0.2">
      <c r="A130" s="30"/>
      <c r="B130" s="45"/>
      <c r="C130" s="31"/>
      <c r="D130" s="30"/>
      <c r="E130" s="30"/>
      <c r="F130" s="30"/>
      <c r="G130" s="30"/>
      <c r="H130" s="30"/>
      <c r="I130" s="24" t="s">
        <v>139</v>
      </c>
      <c r="J130" s="14">
        <v>1.46</v>
      </c>
      <c r="K130" s="25">
        <v>90</v>
      </c>
      <c r="L130" s="22"/>
      <c r="M130" s="14">
        <f>K130*J130*C124*M123</f>
        <v>103.54320000000001</v>
      </c>
      <c r="N130" s="14"/>
      <c r="O130" s="22"/>
      <c r="P130" s="14"/>
      <c r="Q130" s="22"/>
    </row>
    <row r="131" spans="1:17" s="15" customFormat="1" x14ac:dyDescent="0.2">
      <c r="A131" s="115">
        <v>2</v>
      </c>
      <c r="B131" s="116" t="s">
        <v>151</v>
      </c>
      <c r="C131" s="122">
        <v>1</v>
      </c>
      <c r="D131" s="120">
        <v>58.8</v>
      </c>
      <c r="E131" s="120">
        <v>0.3</v>
      </c>
      <c r="F131" s="120">
        <v>0.5</v>
      </c>
      <c r="G131" s="120">
        <f>D131*E131*(F131-0.1)*C131</f>
        <v>7.0559999999999992</v>
      </c>
      <c r="H131" s="115">
        <f>C131*D131*(F131-0.1)*2</f>
        <v>47.04</v>
      </c>
      <c r="I131" s="118">
        <v>1</v>
      </c>
      <c r="J131" s="81">
        <f>(D131-0.05)+2*0.3+4*35*0.018</f>
        <v>61.870000000000005</v>
      </c>
      <c r="K131" s="119">
        <v>2</v>
      </c>
      <c r="L131" s="80"/>
      <c r="M131" s="80"/>
      <c r="N131" s="80"/>
      <c r="O131" s="80"/>
      <c r="P131" s="81">
        <f>J131*P123*C131*K131</f>
        <v>246.24260000000001</v>
      </c>
      <c r="Q131" s="80"/>
    </row>
    <row r="132" spans="1:17" s="15" customFormat="1" x14ac:dyDescent="0.2">
      <c r="A132" s="120"/>
      <c r="B132" s="121"/>
      <c r="C132" s="122"/>
      <c r="D132" s="120"/>
      <c r="E132" s="120"/>
      <c r="F132" s="120"/>
      <c r="G132" s="120"/>
      <c r="H132" s="120"/>
      <c r="I132" s="118">
        <v>2</v>
      </c>
      <c r="J132" s="81">
        <f>D131-1.6-0.05+2*0.15+4*35*0.018</f>
        <v>59.97</v>
      </c>
      <c r="K132" s="119">
        <v>2</v>
      </c>
      <c r="L132" s="80"/>
      <c r="M132" s="80"/>
      <c r="N132" s="80"/>
      <c r="O132" s="80"/>
      <c r="P132" s="81">
        <f>J132*P123*C131*K132</f>
        <v>238.6806</v>
      </c>
      <c r="Q132" s="80"/>
    </row>
    <row r="133" spans="1:17" s="15" customFormat="1" x14ac:dyDescent="0.2">
      <c r="A133" s="120"/>
      <c r="B133" s="121"/>
      <c r="C133" s="122"/>
      <c r="D133" s="120"/>
      <c r="E133" s="120"/>
      <c r="F133" s="120"/>
      <c r="G133" s="120"/>
      <c r="H133" s="120"/>
      <c r="I133" s="118" t="s">
        <v>141</v>
      </c>
      <c r="J133" s="81">
        <f>2*(1.6+0.65+1.7+1.7+1.7+1.7+1.7+1.9+1.9+1.9)</f>
        <v>32.9</v>
      </c>
      <c r="K133" s="119">
        <v>2</v>
      </c>
      <c r="L133" s="80"/>
      <c r="M133" s="80"/>
      <c r="N133" s="80"/>
      <c r="O133" s="80"/>
      <c r="P133" s="81">
        <f>K133*P123*J133*C131</f>
        <v>130.94200000000001</v>
      </c>
      <c r="Q133" s="80"/>
    </row>
    <row r="134" spans="1:17" s="15" customFormat="1" x14ac:dyDescent="0.2">
      <c r="A134" s="120"/>
      <c r="B134" s="121"/>
      <c r="C134" s="122"/>
      <c r="D134" s="120"/>
      <c r="E134" s="120"/>
      <c r="F134" s="120"/>
      <c r="G134" s="120"/>
      <c r="H134" s="120"/>
      <c r="I134" s="118" t="s">
        <v>142</v>
      </c>
      <c r="J134" s="81">
        <f>2*((6-1.2-1.1)+(6-1.1-1.1)*2+(7-1.25-1.25))+7-1.25-1.25</f>
        <v>36.1</v>
      </c>
      <c r="K134" s="119">
        <v>2</v>
      </c>
      <c r="L134" s="80"/>
      <c r="M134" s="80"/>
      <c r="N134" s="80"/>
      <c r="O134" s="80"/>
      <c r="P134" s="81">
        <f>J134*K134*P123*C131</f>
        <v>143.678</v>
      </c>
      <c r="Q134" s="80"/>
    </row>
    <row r="135" spans="1:17" s="15" customFormat="1" x14ac:dyDescent="0.2">
      <c r="A135" s="120"/>
      <c r="B135" s="121"/>
      <c r="C135" s="122"/>
      <c r="D135" s="120"/>
      <c r="E135" s="120"/>
      <c r="F135" s="120"/>
      <c r="G135" s="120"/>
      <c r="H135" s="120"/>
      <c r="I135" s="118">
        <v>9</v>
      </c>
      <c r="J135" s="81">
        <f>0.75+0.15+0.65</f>
        <v>1.55</v>
      </c>
      <c r="K135" s="119">
        <v>2</v>
      </c>
      <c r="L135" s="80"/>
      <c r="M135" s="80"/>
      <c r="N135" s="80"/>
      <c r="O135" s="80"/>
      <c r="P135" s="81">
        <f>P123*K135*J135*C131</f>
        <v>6.1690000000000005</v>
      </c>
      <c r="Q135" s="80"/>
    </row>
    <row r="136" spans="1:17" s="15" customFormat="1" x14ac:dyDescent="0.2">
      <c r="A136" s="120"/>
      <c r="B136" s="121"/>
      <c r="C136" s="122"/>
      <c r="D136" s="120"/>
      <c r="E136" s="120"/>
      <c r="F136" s="120"/>
      <c r="G136" s="120"/>
      <c r="H136" s="120"/>
      <c r="I136" s="118" t="s">
        <v>138</v>
      </c>
      <c r="J136" s="81">
        <v>1.26</v>
      </c>
      <c r="K136" s="119">
        <v>10</v>
      </c>
      <c r="L136" s="80"/>
      <c r="M136" s="80">
        <f>M123*K136*J136*C131</f>
        <v>4.9644000000000004</v>
      </c>
      <c r="N136" s="80"/>
      <c r="O136" s="80"/>
      <c r="P136" s="81"/>
      <c r="Q136" s="80"/>
    </row>
    <row r="137" spans="1:17" s="15" customFormat="1" x14ac:dyDescent="0.2">
      <c r="A137" s="123"/>
      <c r="B137" s="124"/>
      <c r="C137" s="125"/>
      <c r="D137" s="123"/>
      <c r="E137" s="123"/>
      <c r="F137" s="123"/>
      <c r="G137" s="123"/>
      <c r="H137" s="123"/>
      <c r="I137" s="118" t="s">
        <v>139</v>
      </c>
      <c r="J137" s="81">
        <v>1.46</v>
      </c>
      <c r="K137" s="119">
        <v>288</v>
      </c>
      <c r="L137" s="80"/>
      <c r="M137" s="81">
        <f>K137*J137*C131*M123</f>
        <v>165.66912000000002</v>
      </c>
      <c r="N137" s="81"/>
      <c r="O137" s="80"/>
      <c r="P137" s="81"/>
      <c r="Q137" s="80"/>
    </row>
    <row r="138" spans="1:17" x14ac:dyDescent="0.2">
      <c r="A138" s="26">
        <v>3</v>
      </c>
      <c r="B138" s="43" t="s">
        <v>152</v>
      </c>
      <c r="C138" s="29">
        <v>1</v>
      </c>
      <c r="D138" s="28">
        <v>58.8</v>
      </c>
      <c r="E138" s="28">
        <v>0.3</v>
      </c>
      <c r="F138" s="28">
        <v>0.5</v>
      </c>
      <c r="G138" s="28">
        <f>D138*E138*(F138-0.1)*C138</f>
        <v>7.0559999999999992</v>
      </c>
      <c r="H138" s="26">
        <f>C138*D138*(F138-0.1)*2</f>
        <v>47.04</v>
      </c>
      <c r="I138" s="24" t="s">
        <v>144</v>
      </c>
      <c r="J138" s="14">
        <f>(D138-0.05)+2*0.3+4*35*0.018</f>
        <v>61.870000000000005</v>
      </c>
      <c r="K138" s="25">
        <v>2</v>
      </c>
      <c r="L138" s="22"/>
      <c r="M138" s="22"/>
      <c r="N138" s="22"/>
      <c r="O138" s="22"/>
      <c r="P138" s="14">
        <f>J138*P123*C138*K138</f>
        <v>246.24260000000001</v>
      </c>
      <c r="Q138" s="22"/>
    </row>
    <row r="139" spans="1:17" x14ac:dyDescent="0.2">
      <c r="A139" s="28"/>
      <c r="B139" s="44"/>
      <c r="C139" s="29"/>
      <c r="D139" s="28"/>
      <c r="E139" s="28"/>
      <c r="F139" s="28"/>
      <c r="G139" s="28"/>
      <c r="H139" s="28"/>
      <c r="I139" s="24">
        <v>2</v>
      </c>
      <c r="J139" s="14">
        <f>D138-1.6-0.05+2*0.15+4*35*0.018</f>
        <v>59.97</v>
      </c>
      <c r="K139" s="25">
        <v>2</v>
      </c>
      <c r="L139" s="22"/>
      <c r="M139" s="22"/>
      <c r="N139" s="22"/>
      <c r="O139" s="22"/>
      <c r="P139" s="14">
        <f>J139*P123*C138*K139</f>
        <v>238.6806</v>
      </c>
      <c r="Q139" s="22"/>
    </row>
    <row r="140" spans="1:17" x14ac:dyDescent="0.2">
      <c r="A140" s="28"/>
      <c r="B140" s="44"/>
      <c r="C140" s="29"/>
      <c r="D140" s="28"/>
      <c r="E140" s="28"/>
      <c r="F140" s="28"/>
      <c r="G140" s="28"/>
      <c r="H140" s="28"/>
      <c r="I140" s="24" t="s">
        <v>143</v>
      </c>
      <c r="J140" s="14">
        <f>2*(1.6+0.65+1.7+1.7+1.7+1.7+4*(3.55+1.3)+2.3+0.65+1.9+1.9)</f>
        <v>70.399999999999991</v>
      </c>
      <c r="K140" s="25">
        <v>2</v>
      </c>
      <c r="L140" s="22"/>
      <c r="M140" s="22"/>
      <c r="N140" s="22"/>
      <c r="O140" s="22"/>
      <c r="P140" s="14">
        <f>K140*P123*J140*C138</f>
        <v>280.19199999999995</v>
      </c>
      <c r="Q140" s="22"/>
    </row>
    <row r="141" spans="1:17" x14ac:dyDescent="0.2">
      <c r="A141" s="28"/>
      <c r="B141" s="44"/>
      <c r="C141" s="29"/>
      <c r="D141" s="28"/>
      <c r="E141" s="28"/>
      <c r="F141" s="28"/>
      <c r="G141" s="28"/>
      <c r="H141" s="28"/>
      <c r="I141" s="24" t="s">
        <v>145</v>
      </c>
      <c r="J141" s="14">
        <f>2*((6-1.2-1.1)+(6-1.1-1.1)*2+(7-1.25-1.25))+(7-1.25-1.25)</f>
        <v>36.1</v>
      </c>
      <c r="K141" s="25">
        <v>2</v>
      </c>
      <c r="L141" s="22"/>
      <c r="M141" s="22"/>
      <c r="N141" s="22"/>
      <c r="O141" s="22"/>
      <c r="P141" s="14">
        <f>J141*K141*P123*C138</f>
        <v>143.678</v>
      </c>
      <c r="Q141" s="22"/>
    </row>
    <row r="142" spans="1:17" x14ac:dyDescent="0.2">
      <c r="A142" s="28"/>
      <c r="B142" s="44"/>
      <c r="C142" s="29"/>
      <c r="D142" s="28"/>
      <c r="E142" s="28"/>
      <c r="F142" s="28"/>
      <c r="G142" s="28"/>
      <c r="H142" s="28"/>
      <c r="I142" s="24">
        <v>6</v>
      </c>
      <c r="J142" s="14">
        <f>1.7+0.65</f>
        <v>2.35</v>
      </c>
      <c r="K142" s="25">
        <v>2</v>
      </c>
      <c r="L142" s="22"/>
      <c r="M142" s="22"/>
      <c r="N142" s="22"/>
      <c r="O142" s="22"/>
      <c r="P142" s="14">
        <f>J142*K142*P123*C138</f>
        <v>9.3529999999999998</v>
      </c>
      <c r="Q142" s="22"/>
    </row>
    <row r="143" spans="1:17" x14ac:dyDescent="0.2">
      <c r="A143" s="28"/>
      <c r="B143" s="44"/>
      <c r="C143" s="29"/>
      <c r="D143" s="28"/>
      <c r="E143" s="28"/>
      <c r="F143" s="28"/>
      <c r="G143" s="28"/>
      <c r="H143" s="28"/>
      <c r="I143" s="24">
        <v>10</v>
      </c>
      <c r="J143" s="14">
        <f>0.75+0.15+0.65</f>
        <v>1.55</v>
      </c>
      <c r="K143" s="25">
        <v>2</v>
      </c>
      <c r="L143" s="22"/>
      <c r="M143" s="22"/>
      <c r="N143" s="22"/>
      <c r="O143" s="22"/>
      <c r="P143" s="14">
        <f>P123*K143*J143*C138</f>
        <v>6.1690000000000005</v>
      </c>
      <c r="Q143" s="22"/>
    </row>
    <row r="144" spans="1:17" ht="12" customHeight="1" x14ac:dyDescent="0.2">
      <c r="A144" s="28"/>
      <c r="B144" s="44"/>
      <c r="C144" s="29"/>
      <c r="D144" s="28"/>
      <c r="E144" s="28"/>
      <c r="F144" s="28"/>
      <c r="G144" s="28"/>
      <c r="H144" s="28"/>
      <c r="I144" s="24" t="s">
        <v>138</v>
      </c>
      <c r="J144" s="14">
        <v>1.26</v>
      </c>
      <c r="K144" s="25">
        <v>10</v>
      </c>
      <c r="L144" s="22"/>
      <c r="M144" s="22">
        <f>M123*K144*J144*C138</f>
        <v>4.9644000000000004</v>
      </c>
      <c r="N144" s="22"/>
      <c r="O144" s="22"/>
      <c r="P144" s="14"/>
      <c r="Q144" s="22"/>
    </row>
    <row r="145" spans="1:17" ht="12" customHeight="1" x14ac:dyDescent="0.2">
      <c r="A145" s="28"/>
      <c r="B145" s="44"/>
      <c r="C145" s="29"/>
      <c r="D145" s="28"/>
      <c r="E145" s="28"/>
      <c r="F145" s="28"/>
      <c r="G145" s="28"/>
      <c r="H145" s="28"/>
      <c r="I145" s="24" t="s">
        <v>146</v>
      </c>
      <c r="J145" s="14">
        <v>2.7</v>
      </c>
      <c r="K145" s="25">
        <v>16</v>
      </c>
      <c r="L145" s="22"/>
      <c r="M145" s="14">
        <f>M123*K145*J145*C138</f>
        <v>17.020800000000001</v>
      </c>
      <c r="N145" s="22"/>
      <c r="O145" s="22"/>
      <c r="P145" s="14"/>
      <c r="Q145" s="22"/>
    </row>
    <row r="146" spans="1:17" ht="12" customHeight="1" x14ac:dyDescent="0.2">
      <c r="A146" s="30"/>
      <c r="B146" s="45"/>
      <c r="C146" s="31"/>
      <c r="D146" s="30"/>
      <c r="E146" s="30"/>
      <c r="F146" s="30"/>
      <c r="G146" s="30"/>
      <c r="H146" s="30"/>
      <c r="I146" s="24" t="s">
        <v>139</v>
      </c>
      <c r="J146" s="14">
        <v>1.46</v>
      </c>
      <c r="K146" s="25">
        <v>272</v>
      </c>
      <c r="L146" s="22"/>
      <c r="M146" s="14">
        <f>K146*J146*C138*M123</f>
        <v>156.46528000000001</v>
      </c>
      <c r="N146" s="14"/>
      <c r="O146" s="22"/>
      <c r="P146" s="14"/>
      <c r="Q146" s="22"/>
    </row>
    <row r="147" spans="1:17" s="15" customFormat="1" x14ac:dyDescent="0.2">
      <c r="A147" s="115">
        <v>4</v>
      </c>
      <c r="B147" s="116" t="s">
        <v>153</v>
      </c>
      <c r="C147" s="122">
        <v>6</v>
      </c>
      <c r="D147" s="120">
        <v>22</v>
      </c>
      <c r="E147" s="120">
        <v>0.3</v>
      </c>
      <c r="F147" s="120">
        <v>0.6</v>
      </c>
      <c r="G147" s="120">
        <f>D147*E147*(F147-0.1)*C147</f>
        <v>19.799999999999997</v>
      </c>
      <c r="H147" s="115">
        <f>C147*D147*(F147-0.1)*2</f>
        <v>132</v>
      </c>
      <c r="I147" s="118">
        <v>1</v>
      </c>
      <c r="J147" s="81">
        <f>16.5-0.05+0.3+1*35*0.018</f>
        <v>17.38</v>
      </c>
      <c r="K147" s="119">
        <v>2</v>
      </c>
      <c r="L147" s="80"/>
      <c r="M147" s="80"/>
      <c r="N147" s="80"/>
      <c r="O147" s="80"/>
      <c r="P147" s="81">
        <f>J147*P123*C147*K147</f>
        <v>415.03440000000001</v>
      </c>
      <c r="Q147" s="80"/>
    </row>
    <row r="148" spans="1:17" s="15" customFormat="1" x14ac:dyDescent="0.2">
      <c r="A148" s="120"/>
      <c r="B148" s="121"/>
      <c r="C148" s="122"/>
      <c r="D148" s="120"/>
      <c r="E148" s="120"/>
      <c r="F148" s="120"/>
      <c r="G148" s="120"/>
      <c r="H148" s="120"/>
      <c r="I148" s="118">
        <v>5</v>
      </c>
      <c r="J148" s="81">
        <f>6.9-0.05+0.35</f>
        <v>7.2</v>
      </c>
      <c r="K148" s="119">
        <v>2</v>
      </c>
      <c r="L148" s="80"/>
      <c r="M148" s="80"/>
      <c r="N148" s="80"/>
      <c r="O148" s="80"/>
      <c r="P148" s="81"/>
      <c r="Q148" s="80">
        <f>Q123*K148*J148*C147</f>
        <v>257.73120000000006</v>
      </c>
    </row>
    <row r="149" spans="1:17" s="15" customFormat="1" x14ac:dyDescent="0.2">
      <c r="A149" s="120"/>
      <c r="B149" s="121"/>
      <c r="C149" s="122"/>
      <c r="D149" s="120"/>
      <c r="E149" s="120"/>
      <c r="F149" s="120"/>
      <c r="G149" s="120"/>
      <c r="H149" s="120"/>
      <c r="I149" s="118">
        <v>2</v>
      </c>
      <c r="J149" s="81">
        <f>D147-0.8-0.05+2*0.15+1*35*0.018</f>
        <v>22.08</v>
      </c>
      <c r="K149" s="119">
        <v>2</v>
      </c>
      <c r="L149" s="80"/>
      <c r="M149" s="80"/>
      <c r="N149" s="80"/>
      <c r="O149" s="80"/>
      <c r="P149" s="81">
        <f>J149*P123*C147*K149</f>
        <v>527.2704</v>
      </c>
      <c r="Q149" s="80"/>
    </row>
    <row r="150" spans="1:17" s="15" customFormat="1" x14ac:dyDescent="0.2">
      <c r="A150" s="120"/>
      <c r="B150" s="121"/>
      <c r="C150" s="122"/>
      <c r="D150" s="120"/>
      <c r="E150" s="120"/>
      <c r="F150" s="120"/>
      <c r="G150" s="120"/>
      <c r="H150" s="120"/>
      <c r="I150" s="118" t="s">
        <v>140</v>
      </c>
      <c r="J150" s="81">
        <f>(1.6+0.65+1.7+1.7+1.7+1.7)</f>
        <v>9.0500000000000007</v>
      </c>
      <c r="K150" s="119">
        <v>2</v>
      </c>
      <c r="L150" s="80"/>
      <c r="M150" s="80"/>
      <c r="N150" s="80"/>
      <c r="O150" s="80"/>
      <c r="P150" s="81">
        <f>K150*P123*J150*C147</f>
        <v>216.11400000000003</v>
      </c>
      <c r="Q150" s="80"/>
    </row>
    <row r="151" spans="1:17" s="15" customFormat="1" x14ac:dyDescent="0.2">
      <c r="A151" s="120"/>
      <c r="B151" s="121"/>
      <c r="C151" s="122"/>
      <c r="D151" s="120"/>
      <c r="E151" s="120"/>
      <c r="F151" s="120"/>
      <c r="G151" s="120"/>
      <c r="H151" s="120"/>
      <c r="I151" s="118">
        <v>6</v>
      </c>
      <c r="J151" s="81">
        <f>1.45+1.5+1.45-0.05+0.3+0.4</f>
        <v>5.0500000000000007</v>
      </c>
      <c r="K151" s="119">
        <v>2</v>
      </c>
      <c r="L151" s="80"/>
      <c r="M151" s="80"/>
      <c r="N151" s="80"/>
      <c r="O151" s="80"/>
      <c r="P151" s="81"/>
      <c r="Q151" s="80">
        <f>Q123*K151*J151*C147</f>
        <v>180.76980000000003</v>
      </c>
    </row>
    <row r="152" spans="1:17" s="15" customFormat="1" x14ac:dyDescent="0.2">
      <c r="A152" s="120"/>
      <c r="B152" s="121"/>
      <c r="C152" s="122"/>
      <c r="D152" s="120"/>
      <c r="E152" s="120"/>
      <c r="F152" s="120"/>
      <c r="G152" s="120"/>
      <c r="H152" s="120"/>
      <c r="I152" s="118">
        <v>7</v>
      </c>
      <c r="J152" s="81">
        <f>1.45+0.8</f>
        <v>2.25</v>
      </c>
      <c r="K152" s="119">
        <v>2</v>
      </c>
      <c r="L152" s="80"/>
      <c r="M152" s="80"/>
      <c r="N152" s="80"/>
      <c r="O152" s="80"/>
      <c r="P152" s="81"/>
      <c r="Q152" s="80">
        <f>Q123*K152*J152*C147</f>
        <v>80.540999999999997</v>
      </c>
    </row>
    <row r="153" spans="1:17" s="15" customFormat="1" x14ac:dyDescent="0.2">
      <c r="A153" s="120"/>
      <c r="B153" s="121"/>
      <c r="C153" s="122"/>
      <c r="D153" s="120"/>
      <c r="E153" s="120"/>
      <c r="F153" s="120"/>
      <c r="G153" s="120"/>
      <c r="H153" s="120"/>
      <c r="I153" s="118" t="s">
        <v>147</v>
      </c>
      <c r="J153" s="81">
        <f>3.8+3.8+(6+3.1-1.1)+0.15</f>
        <v>15.75</v>
      </c>
      <c r="K153" s="119">
        <v>2</v>
      </c>
      <c r="L153" s="80"/>
      <c r="M153" s="80"/>
      <c r="N153" s="80"/>
      <c r="O153" s="80"/>
      <c r="P153" s="81">
        <f>P123*J153*K153*C147</f>
        <v>376.11</v>
      </c>
      <c r="Q153" s="80"/>
    </row>
    <row r="154" spans="1:17" s="15" customFormat="1" x14ac:dyDescent="0.2">
      <c r="A154" s="120"/>
      <c r="B154" s="121"/>
      <c r="C154" s="122"/>
      <c r="D154" s="120"/>
      <c r="E154" s="120"/>
      <c r="F154" s="120"/>
      <c r="G154" s="120"/>
      <c r="H154" s="120"/>
      <c r="I154" s="118">
        <v>8</v>
      </c>
      <c r="J154" s="81">
        <f>0.75+0.15+0.65</f>
        <v>1.55</v>
      </c>
      <c r="K154" s="119">
        <v>2</v>
      </c>
      <c r="L154" s="80"/>
      <c r="M154" s="80"/>
      <c r="N154" s="80"/>
      <c r="O154" s="80"/>
      <c r="P154" s="81">
        <f>P123*K154*J154*C147</f>
        <v>37.014000000000003</v>
      </c>
      <c r="Q154" s="80"/>
    </row>
    <row r="155" spans="1:17" s="15" customFormat="1" x14ac:dyDescent="0.2">
      <c r="A155" s="120"/>
      <c r="B155" s="121"/>
      <c r="C155" s="122"/>
      <c r="D155" s="120"/>
      <c r="E155" s="120"/>
      <c r="F155" s="120"/>
      <c r="G155" s="120"/>
      <c r="H155" s="120"/>
      <c r="I155" s="118" t="s">
        <v>138</v>
      </c>
      <c r="J155" s="81">
        <v>1.26</v>
      </c>
      <c r="K155" s="119">
        <v>5</v>
      </c>
      <c r="L155" s="80"/>
      <c r="M155" s="80">
        <f>M123*K155*J155*C147</f>
        <v>14.8932</v>
      </c>
      <c r="N155" s="80"/>
      <c r="O155" s="80"/>
      <c r="P155" s="81"/>
      <c r="Q155" s="80"/>
    </row>
    <row r="156" spans="1:17" s="15" customFormat="1" x14ac:dyDescent="0.2">
      <c r="A156" s="120"/>
      <c r="B156" s="121"/>
      <c r="C156" s="122"/>
      <c r="D156" s="120"/>
      <c r="E156" s="120"/>
      <c r="F156" s="120"/>
      <c r="G156" s="120"/>
      <c r="H156" s="120"/>
      <c r="I156" s="118" t="s">
        <v>146</v>
      </c>
      <c r="J156" s="81">
        <v>1.96</v>
      </c>
      <c r="K156" s="119">
        <v>16</v>
      </c>
      <c r="L156" s="80"/>
      <c r="M156" s="81">
        <f>M123*K156*J156*C147</f>
        <v>74.135040000000004</v>
      </c>
      <c r="N156" s="80"/>
      <c r="O156" s="80"/>
      <c r="P156" s="81"/>
      <c r="Q156" s="80"/>
    </row>
    <row r="157" spans="1:17" s="15" customFormat="1" x14ac:dyDescent="0.2">
      <c r="A157" s="123"/>
      <c r="B157" s="124"/>
      <c r="C157" s="125"/>
      <c r="D157" s="123"/>
      <c r="E157" s="123"/>
      <c r="F157" s="123"/>
      <c r="G157" s="123"/>
      <c r="H157" s="123"/>
      <c r="I157" s="118" t="s">
        <v>139</v>
      </c>
      <c r="J157" s="81">
        <v>1.66</v>
      </c>
      <c r="K157" s="119">
        <v>90</v>
      </c>
      <c r="L157" s="80"/>
      <c r="M157" s="81">
        <f>K157*J157*C147*M123</f>
        <v>353.18160000000006</v>
      </c>
      <c r="N157" s="81"/>
      <c r="O157" s="80"/>
      <c r="P157" s="81"/>
      <c r="Q157" s="80"/>
    </row>
    <row r="158" spans="1:17" x14ac:dyDescent="0.2">
      <c r="A158" s="26">
        <v>5</v>
      </c>
      <c r="B158" s="43" t="s">
        <v>154</v>
      </c>
      <c r="C158" s="29">
        <v>1</v>
      </c>
      <c r="D158" s="28">
        <v>58.8</v>
      </c>
      <c r="E158" s="28">
        <v>0.3</v>
      </c>
      <c r="F158" s="28">
        <v>0.5</v>
      </c>
      <c r="G158" s="28">
        <f>D158*E158*(F158-0.1)*C158</f>
        <v>7.0559999999999992</v>
      </c>
      <c r="H158" s="26">
        <f>C158*D158*(F158-0.1)*2</f>
        <v>47.04</v>
      </c>
      <c r="I158" s="24">
        <v>1</v>
      </c>
      <c r="J158" s="14">
        <f>(D158-0.05)+2*0.3+4*35*0.018</f>
        <v>61.870000000000005</v>
      </c>
      <c r="K158" s="25">
        <v>2</v>
      </c>
      <c r="L158" s="22"/>
      <c r="M158" s="22"/>
      <c r="N158" s="22"/>
      <c r="O158" s="22"/>
      <c r="P158" s="14">
        <f>J158*P123*C158*K158</f>
        <v>246.24260000000001</v>
      </c>
      <c r="Q158" s="22"/>
    </row>
    <row r="159" spans="1:17" x14ac:dyDescent="0.2">
      <c r="A159" s="28"/>
      <c r="B159" s="44"/>
      <c r="C159" s="29"/>
      <c r="D159" s="28"/>
      <c r="E159" s="28"/>
      <c r="F159" s="28"/>
      <c r="G159" s="28"/>
      <c r="H159" s="28"/>
      <c r="I159" s="24">
        <v>2</v>
      </c>
      <c r="J159" s="14">
        <f>D158-1.6-0.05+2*0.15+4*35*0.018</f>
        <v>59.97</v>
      </c>
      <c r="K159" s="25">
        <v>2</v>
      </c>
      <c r="L159" s="22"/>
      <c r="M159" s="22"/>
      <c r="N159" s="22"/>
      <c r="O159" s="22"/>
      <c r="P159" s="14">
        <f>J159*P123*C158*K159</f>
        <v>238.6806</v>
      </c>
      <c r="Q159" s="22"/>
    </row>
    <row r="160" spans="1:17" x14ac:dyDescent="0.2">
      <c r="A160" s="28"/>
      <c r="B160" s="44"/>
      <c r="C160" s="29"/>
      <c r="D160" s="28"/>
      <c r="E160" s="28"/>
      <c r="F160" s="28"/>
      <c r="G160" s="28"/>
      <c r="H160" s="28"/>
      <c r="I160" s="24" t="s">
        <v>148</v>
      </c>
      <c r="J160" s="14">
        <f>2*(1.6+0.65+1.7+1.7+1.7+1.9+2.5*2)</f>
        <v>28.5</v>
      </c>
      <c r="K160" s="25">
        <v>2</v>
      </c>
      <c r="L160" s="22"/>
      <c r="M160" s="22"/>
      <c r="N160" s="22"/>
      <c r="O160" s="22"/>
      <c r="P160" s="14">
        <f>K160*P123*J160*C158</f>
        <v>113.42999999999999</v>
      </c>
      <c r="Q160" s="22"/>
    </row>
    <row r="161" spans="1:17" x14ac:dyDescent="0.2">
      <c r="A161" s="28"/>
      <c r="B161" s="44"/>
      <c r="C161" s="29"/>
      <c r="D161" s="28"/>
      <c r="E161" s="28"/>
      <c r="F161" s="28"/>
      <c r="G161" s="28"/>
      <c r="H161" s="28"/>
      <c r="I161" s="24" t="s">
        <v>147</v>
      </c>
      <c r="J161" s="14">
        <f>2*((6-1.1-1.1)+(6-1.1-1.1)*2+(7-1.25-1.25))+(7-1.25-1.25)</f>
        <v>36.299999999999997</v>
      </c>
      <c r="K161" s="25">
        <v>2</v>
      </c>
      <c r="L161" s="22"/>
      <c r="M161" s="22"/>
      <c r="N161" s="22"/>
      <c r="O161" s="22"/>
      <c r="P161" s="14">
        <f>J161*K161*P123*C158</f>
        <v>144.47399999999999</v>
      </c>
      <c r="Q161" s="22"/>
    </row>
    <row r="162" spans="1:17" x14ac:dyDescent="0.2">
      <c r="A162" s="28"/>
      <c r="B162" s="44"/>
      <c r="C162" s="29"/>
      <c r="D162" s="28"/>
      <c r="E162" s="28"/>
      <c r="F162" s="28"/>
      <c r="G162" s="28"/>
      <c r="H162" s="28"/>
      <c r="I162" s="24">
        <v>7</v>
      </c>
      <c r="J162" s="14">
        <v>3.8</v>
      </c>
      <c r="K162" s="25">
        <v>2</v>
      </c>
      <c r="L162" s="22"/>
      <c r="M162" s="22"/>
      <c r="N162" s="22"/>
      <c r="O162" s="22"/>
      <c r="P162" s="14">
        <f>J162*K162*P123*C158</f>
        <v>15.123999999999999</v>
      </c>
      <c r="Q162" s="22"/>
    </row>
    <row r="163" spans="1:17" x14ac:dyDescent="0.2">
      <c r="A163" s="28"/>
      <c r="B163" s="44"/>
      <c r="C163" s="29"/>
      <c r="D163" s="28"/>
      <c r="E163" s="28"/>
      <c r="F163" s="28"/>
      <c r="G163" s="28"/>
      <c r="H163" s="28"/>
      <c r="I163" s="24">
        <v>8</v>
      </c>
      <c r="J163" s="14">
        <f>0.75+0.15+0.65</f>
        <v>1.55</v>
      </c>
      <c r="K163" s="25">
        <v>2</v>
      </c>
      <c r="L163" s="22"/>
      <c r="M163" s="22"/>
      <c r="N163" s="22"/>
      <c r="O163" s="22"/>
      <c r="P163" s="14">
        <f>P123*K163*J163*C158</f>
        <v>6.1690000000000005</v>
      </c>
      <c r="Q163" s="22"/>
    </row>
    <row r="164" spans="1:17" x14ac:dyDescent="0.2">
      <c r="A164" s="28"/>
      <c r="B164" s="44"/>
      <c r="C164" s="29"/>
      <c r="D164" s="28"/>
      <c r="E164" s="28"/>
      <c r="F164" s="28"/>
      <c r="G164" s="28"/>
      <c r="H164" s="28"/>
      <c r="I164" s="24" t="s">
        <v>138</v>
      </c>
      <c r="J164" s="14">
        <v>1.26</v>
      </c>
      <c r="K164" s="25">
        <v>10</v>
      </c>
      <c r="L164" s="22"/>
      <c r="M164" s="22">
        <f>M123*K164*J164*C158</f>
        <v>4.9644000000000004</v>
      </c>
      <c r="N164" s="22"/>
      <c r="O164" s="22"/>
      <c r="P164" s="14"/>
      <c r="Q164" s="22"/>
    </row>
    <row r="165" spans="1:17" x14ac:dyDescent="0.2">
      <c r="A165" s="28"/>
      <c r="B165" s="44"/>
      <c r="C165" s="29"/>
      <c r="D165" s="28"/>
      <c r="E165" s="28"/>
      <c r="F165" s="28"/>
      <c r="G165" s="28"/>
      <c r="H165" s="28"/>
      <c r="I165" s="24" t="s">
        <v>146</v>
      </c>
      <c r="J165" s="14">
        <f>(0.8+0.25)*2+0.6</f>
        <v>2.7</v>
      </c>
      <c r="K165" s="25">
        <v>16</v>
      </c>
      <c r="L165" s="22"/>
      <c r="M165" s="14">
        <f>M123*K165*J165*C158</f>
        <v>17.020800000000001</v>
      </c>
      <c r="N165" s="22"/>
      <c r="O165" s="22"/>
      <c r="P165" s="14"/>
      <c r="Q165" s="22"/>
    </row>
    <row r="166" spans="1:17" x14ac:dyDescent="0.2">
      <c r="A166" s="30"/>
      <c r="B166" s="45"/>
      <c r="C166" s="31"/>
      <c r="D166" s="30"/>
      <c r="E166" s="30"/>
      <c r="F166" s="30"/>
      <c r="G166" s="30"/>
      <c r="H166" s="30"/>
      <c r="I166" s="24" t="s">
        <v>139</v>
      </c>
      <c r="J166" s="14">
        <v>1.46</v>
      </c>
      <c r="K166" s="25">
        <v>272</v>
      </c>
      <c r="L166" s="22"/>
      <c r="M166" s="14">
        <f>K166*J166*C158*M123</f>
        <v>156.46528000000001</v>
      </c>
      <c r="N166" s="14"/>
      <c r="O166" s="22"/>
      <c r="P166" s="14"/>
      <c r="Q166" s="22"/>
    </row>
    <row r="167" spans="1:17" s="15" customFormat="1" ht="13.5" customHeight="1" x14ac:dyDescent="0.2">
      <c r="A167" s="115">
        <v>6</v>
      </c>
      <c r="B167" s="116" t="s">
        <v>155</v>
      </c>
      <c r="C167" s="122">
        <v>1</v>
      </c>
      <c r="D167" s="120">
        <v>60.9</v>
      </c>
      <c r="E167" s="120">
        <v>0.3</v>
      </c>
      <c r="F167" s="120">
        <v>0.5</v>
      </c>
      <c r="G167" s="120">
        <f>D167*E167*(F167-0.1)*C167</f>
        <v>7.3079999999999998</v>
      </c>
      <c r="H167" s="115">
        <f>C167*D167*(F167-0.1)*2</f>
        <v>48.72</v>
      </c>
      <c r="I167" s="118">
        <v>1</v>
      </c>
      <c r="J167" s="81">
        <f>(D167-0.05)+2*0.3+4*35*0.018</f>
        <v>63.970000000000006</v>
      </c>
      <c r="K167" s="119">
        <v>2</v>
      </c>
      <c r="L167" s="80"/>
      <c r="M167" s="80"/>
      <c r="N167" s="80"/>
      <c r="O167" s="80"/>
      <c r="P167" s="81">
        <f>J167*P123*C167*K167</f>
        <v>254.60060000000001</v>
      </c>
      <c r="Q167" s="80"/>
    </row>
    <row r="168" spans="1:17" s="15" customFormat="1" x14ac:dyDescent="0.2">
      <c r="A168" s="120"/>
      <c r="B168" s="121"/>
      <c r="C168" s="122"/>
      <c r="D168" s="120"/>
      <c r="E168" s="120"/>
      <c r="F168" s="120"/>
      <c r="G168" s="120"/>
      <c r="H168" s="120"/>
      <c r="I168" s="118">
        <v>2</v>
      </c>
      <c r="J168" s="81">
        <f>D167-0.8-0.05+2*0.15+4*35*0.018</f>
        <v>62.870000000000005</v>
      </c>
      <c r="K168" s="119">
        <v>2</v>
      </c>
      <c r="L168" s="80"/>
      <c r="M168" s="80"/>
      <c r="N168" s="80"/>
      <c r="O168" s="80"/>
      <c r="P168" s="81">
        <f>J168*P123*C167*K168</f>
        <v>250.22260000000003</v>
      </c>
      <c r="Q168" s="80"/>
    </row>
    <row r="169" spans="1:17" s="15" customFormat="1" x14ac:dyDescent="0.2">
      <c r="A169" s="120"/>
      <c r="B169" s="121"/>
      <c r="C169" s="122"/>
      <c r="D169" s="120"/>
      <c r="E169" s="120"/>
      <c r="F169" s="120"/>
      <c r="G169" s="120"/>
      <c r="H169" s="120"/>
      <c r="I169" s="118" t="s">
        <v>149</v>
      </c>
      <c r="J169" s="81">
        <f>(1.6+0.65+1.7+1.7+3.4+1.7+1.9+2.5+2.5)*2</f>
        <v>35.299999999999997</v>
      </c>
      <c r="K169" s="119">
        <v>2</v>
      </c>
      <c r="L169" s="80"/>
      <c r="M169" s="80"/>
      <c r="N169" s="80"/>
      <c r="O169" s="80"/>
      <c r="P169" s="81">
        <f>K169*P123*J169*C167</f>
        <v>140.494</v>
      </c>
      <c r="Q169" s="80"/>
    </row>
    <row r="170" spans="1:17" s="15" customFormat="1" x14ac:dyDescent="0.2">
      <c r="A170" s="120"/>
      <c r="B170" s="121"/>
      <c r="C170" s="122"/>
      <c r="D170" s="120"/>
      <c r="E170" s="120"/>
      <c r="F170" s="120"/>
      <c r="G170" s="120"/>
      <c r="H170" s="120"/>
      <c r="I170" s="118">
        <v>8</v>
      </c>
      <c r="J170" s="81">
        <v>3.8</v>
      </c>
      <c r="K170" s="119">
        <v>2</v>
      </c>
      <c r="L170" s="80"/>
      <c r="M170" s="80"/>
      <c r="N170" s="80"/>
      <c r="O170" s="80"/>
      <c r="P170" s="81">
        <f>K170*P123*J170*C167</f>
        <v>15.123999999999999</v>
      </c>
      <c r="Q170" s="80"/>
    </row>
    <row r="171" spans="1:17" s="15" customFormat="1" x14ac:dyDescent="0.2">
      <c r="A171" s="120"/>
      <c r="B171" s="121"/>
      <c r="C171" s="122"/>
      <c r="D171" s="120"/>
      <c r="E171" s="120"/>
      <c r="F171" s="120"/>
      <c r="G171" s="120"/>
      <c r="H171" s="120"/>
      <c r="I171" s="118" t="s">
        <v>150</v>
      </c>
      <c r="J171" s="81">
        <f>2*((6-1.1-1.1)*3++(7-1.25-1.25))+(7-1.25-1.25)</f>
        <v>36.299999999999997</v>
      </c>
      <c r="K171" s="119">
        <v>2</v>
      </c>
      <c r="L171" s="80"/>
      <c r="M171" s="80"/>
      <c r="N171" s="80"/>
      <c r="O171" s="80"/>
      <c r="P171" s="81">
        <f>J171*K171*P123*C167</f>
        <v>144.47399999999999</v>
      </c>
      <c r="Q171" s="80"/>
    </row>
    <row r="172" spans="1:17" s="15" customFormat="1" x14ac:dyDescent="0.2">
      <c r="A172" s="120"/>
      <c r="B172" s="121"/>
      <c r="C172" s="122"/>
      <c r="D172" s="120"/>
      <c r="E172" s="120"/>
      <c r="F172" s="120"/>
      <c r="G172" s="120"/>
      <c r="H172" s="120"/>
      <c r="I172" s="118">
        <v>8</v>
      </c>
      <c r="J172" s="81">
        <f>0.75+0.15+0.65</f>
        <v>1.55</v>
      </c>
      <c r="K172" s="119">
        <v>2</v>
      </c>
      <c r="L172" s="80"/>
      <c r="M172" s="80"/>
      <c r="N172" s="80"/>
      <c r="O172" s="80"/>
      <c r="P172" s="81">
        <f>P123*K172*J172*C167</f>
        <v>6.1690000000000005</v>
      </c>
      <c r="Q172" s="80"/>
    </row>
    <row r="173" spans="1:17" s="15" customFormat="1" x14ac:dyDescent="0.2">
      <c r="A173" s="120"/>
      <c r="B173" s="121"/>
      <c r="C173" s="122"/>
      <c r="D173" s="120"/>
      <c r="E173" s="120"/>
      <c r="F173" s="120"/>
      <c r="G173" s="120"/>
      <c r="H173" s="120"/>
      <c r="I173" s="118" t="s">
        <v>138</v>
      </c>
      <c r="J173" s="81">
        <v>1.26</v>
      </c>
      <c r="K173" s="119">
        <v>10</v>
      </c>
      <c r="L173" s="80"/>
      <c r="M173" s="80">
        <f>M123*K173*J173*C167</f>
        <v>4.9644000000000004</v>
      </c>
      <c r="N173" s="80"/>
      <c r="O173" s="80"/>
      <c r="P173" s="81"/>
      <c r="Q173" s="80"/>
    </row>
    <row r="174" spans="1:17" s="15" customFormat="1" x14ac:dyDescent="0.2">
      <c r="A174" s="120"/>
      <c r="B174" s="121"/>
      <c r="C174" s="122"/>
      <c r="D174" s="120"/>
      <c r="E174" s="120"/>
      <c r="F174" s="120"/>
      <c r="G174" s="120"/>
      <c r="H174" s="120"/>
      <c r="I174" s="118" t="s">
        <v>146</v>
      </c>
      <c r="J174" s="81">
        <v>1.26</v>
      </c>
      <c r="K174" s="119">
        <v>15</v>
      </c>
      <c r="L174" s="80"/>
      <c r="M174" s="81">
        <f>M123*K174*J174*C167</f>
        <v>7.4466000000000001</v>
      </c>
      <c r="N174" s="80"/>
      <c r="O174" s="80"/>
      <c r="P174" s="81"/>
      <c r="Q174" s="80"/>
    </row>
    <row r="175" spans="1:17" s="15" customFormat="1" x14ac:dyDescent="0.2">
      <c r="A175" s="123"/>
      <c r="B175" s="124"/>
      <c r="C175" s="125"/>
      <c r="D175" s="123"/>
      <c r="E175" s="123"/>
      <c r="F175" s="123"/>
      <c r="G175" s="123"/>
      <c r="H175" s="123"/>
      <c r="I175" s="118" t="s">
        <v>139</v>
      </c>
      <c r="J175" s="81">
        <v>1.46</v>
      </c>
      <c r="K175" s="119">
        <v>272</v>
      </c>
      <c r="L175" s="80"/>
      <c r="M175" s="81">
        <f>K175*J175*C167*M123</f>
        <v>156.46528000000001</v>
      </c>
      <c r="N175" s="81"/>
      <c r="O175" s="80"/>
      <c r="P175" s="81"/>
      <c r="Q175" s="80"/>
    </row>
    <row r="176" spans="1:17" s="8" customFormat="1" x14ac:dyDescent="0.2">
      <c r="A176" s="26">
        <v>7</v>
      </c>
      <c r="B176" s="43" t="s">
        <v>156</v>
      </c>
      <c r="C176" s="27">
        <v>1</v>
      </c>
      <c r="D176" s="26">
        <v>52</v>
      </c>
      <c r="E176" s="26">
        <v>0.3</v>
      </c>
      <c r="F176" s="26">
        <v>0.5</v>
      </c>
      <c r="G176" s="26">
        <f>D176*E176*(F176-0.1)*C176</f>
        <v>6.24</v>
      </c>
      <c r="H176" s="26">
        <f>C176*D176*(F176-0.1)*2</f>
        <v>41.6</v>
      </c>
      <c r="I176" s="24">
        <v>1</v>
      </c>
      <c r="J176" s="14">
        <f>(D176-0.05)+2*0.3+4*35*0.018</f>
        <v>55.070000000000007</v>
      </c>
      <c r="K176" s="25">
        <v>2</v>
      </c>
      <c r="L176" s="22"/>
      <c r="M176" s="22"/>
      <c r="N176" s="22"/>
      <c r="O176" s="22"/>
      <c r="P176" s="14">
        <f>J176*P123*C176*K176</f>
        <v>219.17860000000002</v>
      </c>
      <c r="Q176" s="22"/>
    </row>
    <row r="177" spans="1:17" x14ac:dyDescent="0.2">
      <c r="A177" s="28"/>
      <c r="B177" s="44"/>
      <c r="C177" s="29"/>
      <c r="D177" s="28"/>
      <c r="E177" s="28"/>
      <c r="F177" s="28"/>
      <c r="G177" s="28"/>
      <c r="H177" s="28"/>
      <c r="I177" s="24">
        <v>2</v>
      </c>
      <c r="J177" s="14">
        <f>D176-0.8-0.05+2*0.15+4*35*0.018</f>
        <v>53.970000000000006</v>
      </c>
      <c r="K177" s="25">
        <v>2</v>
      </c>
      <c r="L177" s="22"/>
      <c r="M177" s="22"/>
      <c r="N177" s="22"/>
      <c r="O177" s="22"/>
      <c r="P177" s="14">
        <f>J177*P123*C176*K177</f>
        <v>214.80060000000003</v>
      </c>
      <c r="Q177" s="22"/>
    </row>
    <row r="178" spans="1:17" x14ac:dyDescent="0.2">
      <c r="A178" s="28"/>
      <c r="B178" s="44"/>
      <c r="C178" s="29"/>
      <c r="D178" s="28"/>
      <c r="E178" s="28"/>
      <c r="F178" s="28"/>
      <c r="G178" s="28"/>
      <c r="H178" s="28"/>
      <c r="I178" s="24" t="s">
        <v>157</v>
      </c>
      <c r="J178" s="14">
        <f>(1.7+1.7+1.7+1.7+2.3+2.3+1.6+0.65)*2+1.7+1.7</f>
        <v>30.699999999999996</v>
      </c>
      <c r="K178" s="25">
        <v>2</v>
      </c>
      <c r="L178" s="22"/>
      <c r="M178" s="22"/>
      <c r="N178" s="22"/>
      <c r="O178" s="22"/>
      <c r="P178" s="14">
        <f>K178*P123*J178*C176</f>
        <v>122.18599999999998</v>
      </c>
      <c r="Q178" s="22"/>
    </row>
    <row r="179" spans="1:17" x14ac:dyDescent="0.2">
      <c r="A179" s="28"/>
      <c r="B179" s="44"/>
      <c r="C179" s="29"/>
      <c r="D179" s="28"/>
      <c r="E179" s="28"/>
      <c r="F179" s="28"/>
      <c r="G179" s="28"/>
      <c r="H179" s="28"/>
      <c r="I179" s="24" t="s">
        <v>158</v>
      </c>
      <c r="J179" s="14">
        <f>2*((6-1.1-1.1)*2+(7-1.25-1.25))+(7-1.25-1.25)+3.8</f>
        <v>32.5</v>
      </c>
      <c r="K179" s="25">
        <v>2</v>
      </c>
      <c r="L179" s="22"/>
      <c r="M179" s="22"/>
      <c r="N179" s="22"/>
      <c r="O179" s="22"/>
      <c r="P179" s="14">
        <f>J179*K179*P123*C176</f>
        <v>129.35</v>
      </c>
      <c r="Q179" s="22"/>
    </row>
    <row r="180" spans="1:17" x14ac:dyDescent="0.2">
      <c r="A180" s="28"/>
      <c r="B180" s="44"/>
      <c r="C180" s="29"/>
      <c r="D180" s="28"/>
      <c r="E180" s="28"/>
      <c r="F180" s="28"/>
      <c r="G180" s="28"/>
      <c r="H180" s="28"/>
      <c r="I180" s="24">
        <v>7</v>
      </c>
      <c r="J180" s="14">
        <f>1.7*2</f>
        <v>3.4</v>
      </c>
      <c r="K180" s="25">
        <v>2</v>
      </c>
      <c r="L180" s="22"/>
      <c r="M180" s="22"/>
      <c r="N180" s="22"/>
      <c r="O180" s="22"/>
      <c r="P180" s="14">
        <f>J180*K180*P123*C176</f>
        <v>13.532</v>
      </c>
      <c r="Q180" s="22"/>
    </row>
    <row r="181" spans="1:17" x14ac:dyDescent="0.2">
      <c r="A181" s="28"/>
      <c r="B181" s="44"/>
      <c r="C181" s="29"/>
      <c r="D181" s="28"/>
      <c r="E181" s="28"/>
      <c r="F181" s="28"/>
      <c r="G181" s="28"/>
      <c r="H181" s="28"/>
      <c r="I181" s="24">
        <v>9</v>
      </c>
      <c r="J181" s="14">
        <f>0.75+0.15+0.65</f>
        <v>1.55</v>
      </c>
      <c r="K181" s="25">
        <v>2</v>
      </c>
      <c r="L181" s="22"/>
      <c r="M181" s="22"/>
      <c r="N181" s="22"/>
      <c r="O181" s="22"/>
      <c r="P181" s="14">
        <f>P123*K181*J181*C176</f>
        <v>6.1690000000000005</v>
      </c>
      <c r="Q181" s="22"/>
    </row>
    <row r="182" spans="1:17" x14ac:dyDescent="0.2">
      <c r="A182" s="28"/>
      <c r="B182" s="44"/>
      <c r="C182" s="29"/>
      <c r="D182" s="28"/>
      <c r="E182" s="28"/>
      <c r="F182" s="28"/>
      <c r="G182" s="28"/>
      <c r="H182" s="28"/>
      <c r="I182" s="24" t="s">
        <v>146</v>
      </c>
      <c r="J182" s="14">
        <v>1.26</v>
      </c>
      <c r="K182" s="25">
        <v>5</v>
      </c>
      <c r="L182" s="22"/>
      <c r="M182" s="14">
        <f>M123*K182*J182*C176</f>
        <v>2.4822000000000002</v>
      </c>
      <c r="N182" s="22"/>
      <c r="O182" s="22"/>
      <c r="P182" s="14"/>
      <c r="Q182" s="22"/>
    </row>
    <row r="183" spans="1:17" x14ac:dyDescent="0.2">
      <c r="A183" s="30"/>
      <c r="B183" s="45"/>
      <c r="C183" s="31"/>
      <c r="D183" s="30"/>
      <c r="E183" s="30"/>
      <c r="F183" s="30"/>
      <c r="G183" s="30"/>
      <c r="H183" s="30"/>
      <c r="I183" s="24" t="s">
        <v>139</v>
      </c>
      <c r="J183" s="14">
        <v>1.46</v>
      </c>
      <c r="K183" s="25">
        <v>253</v>
      </c>
      <c r="L183" s="22"/>
      <c r="M183" s="14">
        <f>K183*J183*C176*M123</f>
        <v>145.53572</v>
      </c>
      <c r="N183" s="14"/>
      <c r="O183" s="22"/>
      <c r="P183" s="14"/>
      <c r="Q183" s="22"/>
    </row>
    <row r="184" spans="1:17" x14ac:dyDescent="0.2">
      <c r="A184" s="26">
        <v>8</v>
      </c>
      <c r="B184" s="43" t="s">
        <v>159</v>
      </c>
      <c r="C184" s="27">
        <v>1</v>
      </c>
      <c r="D184" s="26">
        <v>46.8</v>
      </c>
      <c r="E184" s="26">
        <v>0.3</v>
      </c>
      <c r="F184" s="26">
        <v>0.5</v>
      </c>
      <c r="G184" s="26">
        <f>D184*E184*(F184-0.1)*C184</f>
        <v>5.6159999999999997</v>
      </c>
      <c r="H184" s="26">
        <f>C184*D184*(F184-0.1)*2</f>
        <v>37.44</v>
      </c>
      <c r="I184" s="24">
        <v>1</v>
      </c>
      <c r="J184" s="14">
        <f>(D184-0.05)+2*0.3+3*35*0.018</f>
        <v>49.24</v>
      </c>
      <c r="K184" s="25">
        <v>2</v>
      </c>
      <c r="L184" s="22"/>
      <c r="M184" s="22"/>
      <c r="N184" s="22"/>
      <c r="O184" s="22"/>
      <c r="P184" s="14">
        <f>J184*P123*C184*K184</f>
        <v>195.9752</v>
      </c>
      <c r="Q184" s="22"/>
    </row>
    <row r="185" spans="1:17" x14ac:dyDescent="0.2">
      <c r="A185" s="28"/>
      <c r="B185" s="44"/>
      <c r="C185" s="29"/>
      <c r="D185" s="28"/>
      <c r="E185" s="28"/>
      <c r="F185" s="28"/>
      <c r="G185" s="28"/>
      <c r="H185" s="28"/>
      <c r="I185" s="24">
        <v>2</v>
      </c>
      <c r="J185" s="14">
        <f>D184-1.6-0.05+2*0.15+3*35*0.018</f>
        <v>47.339999999999996</v>
      </c>
      <c r="K185" s="25">
        <v>2</v>
      </c>
      <c r="L185" s="22"/>
      <c r="M185" s="22"/>
      <c r="N185" s="22"/>
      <c r="O185" s="22"/>
      <c r="P185" s="14">
        <f>J185*P123*C184*K185</f>
        <v>188.41319999999999</v>
      </c>
      <c r="Q185" s="22"/>
    </row>
    <row r="186" spans="1:17" x14ac:dyDescent="0.2">
      <c r="A186" s="28"/>
      <c r="B186" s="44"/>
      <c r="C186" s="29"/>
      <c r="D186" s="28"/>
      <c r="E186" s="28"/>
      <c r="F186" s="28"/>
      <c r="G186" s="28"/>
      <c r="H186" s="28"/>
      <c r="I186" s="24" t="s">
        <v>157</v>
      </c>
      <c r="J186" s="14">
        <f>(1.6+0.65+1.7+1.7+1.7+1.9+2.3+2.3)*2</f>
        <v>27.700000000000003</v>
      </c>
      <c r="K186" s="25">
        <v>2</v>
      </c>
      <c r="L186" s="22"/>
      <c r="M186" s="22"/>
      <c r="N186" s="22"/>
      <c r="O186" s="22"/>
      <c r="P186" s="14">
        <f>K186*P123*J186*C184</f>
        <v>110.24600000000001</v>
      </c>
      <c r="Q186" s="22"/>
    </row>
    <row r="187" spans="1:17" x14ac:dyDescent="0.2">
      <c r="A187" s="28"/>
      <c r="B187" s="44"/>
      <c r="C187" s="29"/>
      <c r="D187" s="28"/>
      <c r="E187" s="28"/>
      <c r="F187" s="28"/>
      <c r="G187" s="28"/>
      <c r="H187" s="28"/>
      <c r="I187" s="24" t="s">
        <v>158</v>
      </c>
      <c r="J187" s="14">
        <f>2*((6-1.1-1.1)*2+(7-1.25-1.25))+(7-1.25-1.25)+(7-2.7)</f>
        <v>33</v>
      </c>
      <c r="K187" s="25">
        <v>2</v>
      </c>
      <c r="L187" s="22"/>
      <c r="M187" s="22"/>
      <c r="N187" s="22"/>
      <c r="O187" s="22"/>
      <c r="P187" s="14">
        <f>J187*K187*P123*C184</f>
        <v>131.34</v>
      </c>
      <c r="Q187" s="22"/>
    </row>
    <row r="188" spans="1:17" x14ac:dyDescent="0.2">
      <c r="A188" s="28"/>
      <c r="B188" s="44"/>
      <c r="C188" s="29"/>
      <c r="D188" s="28"/>
      <c r="E188" s="28"/>
      <c r="F188" s="28"/>
      <c r="G188" s="28"/>
      <c r="H188" s="28"/>
      <c r="I188" s="24">
        <v>7</v>
      </c>
      <c r="J188" s="14">
        <f>1.7*2</f>
        <v>3.4</v>
      </c>
      <c r="K188" s="25">
        <v>2</v>
      </c>
      <c r="L188" s="22"/>
      <c r="M188" s="22"/>
      <c r="N188" s="22"/>
      <c r="O188" s="22"/>
      <c r="P188" s="14">
        <f>J188*K188*P131*C184</f>
        <v>1674.4496799999999</v>
      </c>
      <c r="Q188" s="22"/>
    </row>
    <row r="189" spans="1:17" x14ac:dyDescent="0.2">
      <c r="A189" s="28"/>
      <c r="B189" s="44"/>
      <c r="C189" s="29"/>
      <c r="D189" s="28"/>
      <c r="E189" s="28"/>
      <c r="F189" s="28"/>
      <c r="G189" s="28"/>
      <c r="H189" s="28"/>
      <c r="I189" s="24">
        <v>9</v>
      </c>
      <c r="J189" s="14">
        <f>0.75+0.15+0.65</f>
        <v>1.55</v>
      </c>
      <c r="K189" s="25">
        <v>2</v>
      </c>
      <c r="L189" s="22"/>
      <c r="M189" s="22"/>
      <c r="N189" s="22"/>
      <c r="O189" s="22"/>
      <c r="P189" s="14">
        <f>P131*K189*J189*C184</f>
        <v>763.35206000000005</v>
      </c>
      <c r="Q189" s="22"/>
    </row>
    <row r="190" spans="1:17" x14ac:dyDescent="0.2">
      <c r="A190" s="28"/>
      <c r="B190" s="44"/>
      <c r="C190" s="29"/>
      <c r="D190" s="28"/>
      <c r="E190" s="28"/>
      <c r="F190" s="28"/>
      <c r="G190" s="28"/>
      <c r="H190" s="28"/>
      <c r="I190" s="24" t="s">
        <v>146</v>
      </c>
      <c r="J190" s="14">
        <v>1.26</v>
      </c>
      <c r="K190" s="25">
        <v>10</v>
      </c>
      <c r="L190" s="22"/>
      <c r="M190" s="14">
        <f>M123*K190*J190*C184</f>
        <v>4.9644000000000004</v>
      </c>
      <c r="N190" s="22"/>
      <c r="O190" s="22"/>
      <c r="P190" s="14"/>
      <c r="Q190" s="22"/>
    </row>
    <row r="191" spans="1:17" x14ac:dyDescent="0.2">
      <c r="A191" s="30"/>
      <c r="B191" s="45"/>
      <c r="C191" s="31"/>
      <c r="D191" s="30"/>
      <c r="E191" s="30"/>
      <c r="F191" s="30"/>
      <c r="G191" s="30"/>
      <c r="H191" s="30"/>
      <c r="I191" s="24" t="s">
        <v>139</v>
      </c>
      <c r="J191" s="14">
        <v>1.46</v>
      </c>
      <c r="K191" s="25">
        <v>228</v>
      </c>
      <c r="L191" s="22"/>
      <c r="M191" s="14">
        <f>K191*J191*C184*M123</f>
        <v>131.15472</v>
      </c>
      <c r="N191" s="14"/>
      <c r="O191" s="22"/>
      <c r="P191" s="14"/>
      <c r="Q191" s="22"/>
    </row>
    <row r="192" spans="1:17" s="15" customFormat="1" x14ac:dyDescent="0.2">
      <c r="A192" s="115">
        <v>9</v>
      </c>
      <c r="B192" s="116" t="s">
        <v>160</v>
      </c>
      <c r="C192" s="117">
        <v>1</v>
      </c>
      <c r="D192" s="115">
        <v>40.799999999999997</v>
      </c>
      <c r="E192" s="115">
        <v>0.3</v>
      </c>
      <c r="F192" s="115">
        <v>0.5</v>
      </c>
      <c r="G192" s="115">
        <f>D192*E192*(F192-0.1)*C192</f>
        <v>4.8959999999999999</v>
      </c>
      <c r="H192" s="115">
        <f>C192*D192*(F192-0.1)*2</f>
        <v>32.64</v>
      </c>
      <c r="I192" s="118">
        <v>1</v>
      </c>
      <c r="J192" s="81">
        <f>(D192-0.05)+2*0.3+3*35*0.018</f>
        <v>43.24</v>
      </c>
      <c r="K192" s="119">
        <v>2</v>
      </c>
      <c r="L192" s="80"/>
      <c r="M192" s="80"/>
      <c r="N192" s="80"/>
      <c r="O192" s="80"/>
      <c r="P192" s="81">
        <f>J192*P123*C192*K192</f>
        <v>172.09520000000001</v>
      </c>
      <c r="Q192" s="80"/>
    </row>
    <row r="193" spans="1:17" s="15" customFormat="1" x14ac:dyDescent="0.2">
      <c r="A193" s="120"/>
      <c r="B193" s="121"/>
      <c r="C193" s="122"/>
      <c r="D193" s="120"/>
      <c r="E193" s="120"/>
      <c r="F193" s="120"/>
      <c r="G193" s="120"/>
      <c r="H193" s="120"/>
      <c r="I193" s="118">
        <v>2</v>
      </c>
      <c r="J193" s="81">
        <f>D192-1.6-0.05+2*0.15+4*35*0.018</f>
        <v>41.97</v>
      </c>
      <c r="K193" s="119">
        <v>2</v>
      </c>
      <c r="L193" s="80"/>
      <c r="M193" s="80"/>
      <c r="N193" s="80"/>
      <c r="O193" s="80"/>
      <c r="P193" s="81">
        <f>J193*P123*C192*K193</f>
        <v>167.04059999999998</v>
      </c>
      <c r="Q193" s="80"/>
    </row>
    <row r="194" spans="1:17" s="15" customFormat="1" x14ac:dyDescent="0.2">
      <c r="A194" s="120"/>
      <c r="B194" s="121"/>
      <c r="C194" s="122"/>
      <c r="D194" s="120"/>
      <c r="E194" s="120"/>
      <c r="F194" s="120"/>
      <c r="G194" s="120"/>
      <c r="H194" s="120"/>
      <c r="I194" s="118" t="s">
        <v>157</v>
      </c>
      <c r="J194" s="81">
        <f>(1.6+0.65+1.7+1.9+2.5+2.5)*2+1.7+1.7</f>
        <v>25.099999999999998</v>
      </c>
      <c r="K194" s="119">
        <v>2</v>
      </c>
      <c r="L194" s="80"/>
      <c r="M194" s="80"/>
      <c r="N194" s="80"/>
      <c r="O194" s="80"/>
      <c r="P194" s="81">
        <f>K194*P123*J194*C192</f>
        <v>99.897999999999996</v>
      </c>
      <c r="Q194" s="80"/>
    </row>
    <row r="195" spans="1:17" s="15" customFormat="1" x14ac:dyDescent="0.2">
      <c r="A195" s="120"/>
      <c r="B195" s="121"/>
      <c r="C195" s="122"/>
      <c r="D195" s="120"/>
      <c r="E195" s="120"/>
      <c r="F195" s="120"/>
      <c r="G195" s="120"/>
      <c r="H195" s="120"/>
      <c r="I195" s="118" t="s">
        <v>158</v>
      </c>
      <c r="J195" s="81">
        <f>2*((6-1.1-1.1)+(7-1.25-1.25))+(7-1.25-1.25)+(6-1.1-1.1)</f>
        <v>24.900000000000002</v>
      </c>
      <c r="K195" s="119">
        <v>2</v>
      </c>
      <c r="L195" s="80"/>
      <c r="M195" s="80"/>
      <c r="N195" s="80"/>
      <c r="O195" s="80"/>
      <c r="P195" s="81">
        <f>J195*K195*P123*C192</f>
        <v>99.102000000000004</v>
      </c>
      <c r="Q195" s="80"/>
    </row>
    <row r="196" spans="1:17" s="15" customFormat="1" x14ac:dyDescent="0.2">
      <c r="A196" s="120"/>
      <c r="B196" s="121"/>
      <c r="C196" s="122"/>
      <c r="D196" s="120"/>
      <c r="E196" s="120"/>
      <c r="F196" s="120"/>
      <c r="G196" s="120"/>
      <c r="H196" s="120"/>
      <c r="I196" s="118">
        <v>7</v>
      </c>
      <c r="J196" s="81">
        <f>1.7*2</f>
        <v>3.4</v>
      </c>
      <c r="K196" s="119">
        <v>2</v>
      </c>
      <c r="L196" s="80"/>
      <c r="M196" s="80"/>
      <c r="N196" s="80"/>
      <c r="O196" s="80"/>
      <c r="P196" s="81">
        <f>J196*K196*P123*C192</f>
        <v>13.532</v>
      </c>
      <c r="Q196" s="80"/>
    </row>
    <row r="197" spans="1:17" s="15" customFormat="1" x14ac:dyDescent="0.2">
      <c r="A197" s="120"/>
      <c r="B197" s="121"/>
      <c r="C197" s="122"/>
      <c r="D197" s="120"/>
      <c r="E197" s="120"/>
      <c r="F197" s="120"/>
      <c r="G197" s="120"/>
      <c r="H197" s="120"/>
      <c r="I197" s="118">
        <v>9</v>
      </c>
      <c r="J197" s="81">
        <f>0.75+0.15+0.65</f>
        <v>1.55</v>
      </c>
      <c r="K197" s="119">
        <v>2</v>
      </c>
      <c r="L197" s="80"/>
      <c r="M197" s="80"/>
      <c r="N197" s="80"/>
      <c r="O197" s="80"/>
      <c r="P197" s="81">
        <f>P123*K197*J197*C192</f>
        <v>6.1690000000000005</v>
      </c>
      <c r="Q197" s="80"/>
    </row>
    <row r="198" spans="1:17" s="15" customFormat="1" x14ac:dyDescent="0.2">
      <c r="A198" s="120"/>
      <c r="B198" s="121"/>
      <c r="C198" s="122"/>
      <c r="D198" s="120"/>
      <c r="E198" s="120"/>
      <c r="F198" s="120"/>
      <c r="G198" s="120"/>
      <c r="H198" s="120"/>
      <c r="I198" s="118" t="s">
        <v>146</v>
      </c>
      <c r="J198" s="81">
        <v>1.26</v>
      </c>
      <c r="K198" s="119">
        <v>10</v>
      </c>
      <c r="L198" s="80"/>
      <c r="M198" s="81">
        <f>M123*K198*J198*C192</f>
        <v>4.9644000000000004</v>
      </c>
      <c r="N198" s="80"/>
      <c r="O198" s="80"/>
      <c r="P198" s="81"/>
      <c r="Q198" s="80"/>
    </row>
    <row r="199" spans="1:17" s="15" customFormat="1" x14ac:dyDescent="0.2">
      <c r="A199" s="123"/>
      <c r="B199" s="124"/>
      <c r="C199" s="125"/>
      <c r="D199" s="123"/>
      <c r="E199" s="123"/>
      <c r="F199" s="123"/>
      <c r="G199" s="123"/>
      <c r="H199" s="123"/>
      <c r="I199" s="118" t="s">
        <v>139</v>
      </c>
      <c r="J199" s="81">
        <v>1.46</v>
      </c>
      <c r="K199" s="119">
        <v>196</v>
      </c>
      <c r="L199" s="80"/>
      <c r="M199" s="81">
        <f>K199*J199*C192*M123</f>
        <v>112.74704</v>
      </c>
      <c r="N199" s="81"/>
      <c r="O199" s="80"/>
      <c r="P199" s="81"/>
      <c r="Q199" s="80"/>
    </row>
    <row r="200" spans="1:17" x14ac:dyDescent="0.2">
      <c r="A200" s="16">
        <v>10</v>
      </c>
      <c r="B200" s="43" t="s">
        <v>161</v>
      </c>
      <c r="C200" s="27">
        <v>1</v>
      </c>
      <c r="D200" s="26">
        <v>57.8</v>
      </c>
      <c r="E200" s="26">
        <v>0.3</v>
      </c>
      <c r="F200" s="26">
        <v>0.5</v>
      </c>
      <c r="G200" s="26">
        <f>D200*E200*(F200-0.1)*C200</f>
        <v>6.9359999999999999</v>
      </c>
      <c r="H200" s="26">
        <f>C200*D200*(F200-0.1)*2</f>
        <v>46.24</v>
      </c>
      <c r="I200" s="24">
        <v>1</v>
      </c>
      <c r="J200" s="14">
        <f>(D200-0.05)+2*0.3+4*35*0.018</f>
        <v>60.870000000000005</v>
      </c>
      <c r="K200" s="25">
        <v>2</v>
      </c>
      <c r="L200" s="22"/>
      <c r="M200" s="22"/>
      <c r="N200" s="22"/>
      <c r="O200" s="22"/>
      <c r="P200" s="14">
        <f>J200*P123*C200*K200</f>
        <v>242.26260000000002</v>
      </c>
      <c r="Q200" s="22"/>
    </row>
    <row r="201" spans="1:17" x14ac:dyDescent="0.2">
      <c r="B201" s="44"/>
      <c r="C201" s="29"/>
      <c r="D201" s="28"/>
      <c r="E201" s="28"/>
      <c r="F201" s="28"/>
      <c r="G201" s="28"/>
      <c r="H201" s="28"/>
      <c r="I201" s="24">
        <v>2</v>
      </c>
      <c r="J201" s="14">
        <f>D200-1.6-0.05+2*0.15+4*35*0.018</f>
        <v>58.97</v>
      </c>
      <c r="K201" s="25">
        <v>2</v>
      </c>
      <c r="L201" s="22"/>
      <c r="M201" s="22"/>
      <c r="N201" s="22"/>
      <c r="O201" s="22"/>
      <c r="P201" s="14">
        <f>J201*P123*C200*K201</f>
        <v>234.70060000000001</v>
      </c>
      <c r="Q201" s="22"/>
    </row>
    <row r="202" spans="1:17" x14ac:dyDescent="0.2">
      <c r="B202" s="44"/>
      <c r="C202" s="29"/>
      <c r="D202" s="28"/>
      <c r="E202" s="28"/>
      <c r="F202" s="28"/>
      <c r="G202" s="28"/>
      <c r="H202" s="28"/>
      <c r="I202" s="24" t="s">
        <v>140</v>
      </c>
      <c r="J202" s="14">
        <f>(1.6+0.65)*2+(1.9+1.9)*7</f>
        <v>31.099999999999998</v>
      </c>
      <c r="K202" s="25">
        <v>2</v>
      </c>
      <c r="L202" s="22"/>
      <c r="M202" s="22"/>
      <c r="N202" s="22"/>
      <c r="O202" s="22"/>
      <c r="P202" s="14">
        <f>K202*P123*J202*C200</f>
        <v>123.77799999999999</v>
      </c>
      <c r="Q202" s="22"/>
    </row>
    <row r="203" spans="1:17" x14ac:dyDescent="0.2">
      <c r="B203" s="44"/>
      <c r="C203" s="29"/>
      <c r="D203" s="28"/>
      <c r="E203" s="28"/>
      <c r="F203" s="28"/>
      <c r="G203" s="28"/>
      <c r="H203" s="28"/>
      <c r="I203" s="24">
        <v>5</v>
      </c>
      <c r="J203" s="14">
        <f>6*(7-1.25-1.25)+(7-1.25-1.35)*2</f>
        <v>35.799999999999997</v>
      </c>
      <c r="K203" s="25">
        <v>2</v>
      </c>
      <c r="L203" s="22"/>
      <c r="M203" s="22"/>
      <c r="N203" s="22"/>
      <c r="O203" s="22"/>
      <c r="P203" s="14">
        <f>J203*K203*P123*C200</f>
        <v>142.48399999999998</v>
      </c>
      <c r="Q203" s="22"/>
    </row>
    <row r="204" spans="1:17" x14ac:dyDescent="0.2">
      <c r="B204" s="44"/>
      <c r="C204" s="29"/>
      <c r="D204" s="28"/>
      <c r="E204" s="28"/>
      <c r="F204" s="28"/>
      <c r="G204" s="28"/>
      <c r="H204" s="28"/>
      <c r="I204" s="24">
        <v>6</v>
      </c>
      <c r="J204" s="14">
        <f>0.75+0.15+0.65</f>
        <v>1.55</v>
      </c>
      <c r="K204" s="25">
        <v>2</v>
      </c>
      <c r="L204" s="22"/>
      <c r="M204" s="22"/>
      <c r="N204" s="22"/>
      <c r="O204" s="22"/>
      <c r="P204" s="14">
        <f>P123*K204*J204*C200</f>
        <v>6.1690000000000005</v>
      </c>
      <c r="Q204" s="22"/>
    </row>
    <row r="205" spans="1:17" x14ac:dyDescent="0.2">
      <c r="B205" s="44"/>
      <c r="C205" s="29"/>
      <c r="D205" s="28"/>
      <c r="E205" s="28"/>
      <c r="F205" s="28"/>
      <c r="G205" s="28"/>
      <c r="H205" s="28"/>
      <c r="I205" s="24" t="s">
        <v>138</v>
      </c>
      <c r="J205" s="14">
        <v>1.26</v>
      </c>
      <c r="K205" s="25">
        <v>10</v>
      </c>
      <c r="L205" s="22"/>
      <c r="M205" s="14">
        <f>M123*K205*J205*C200</f>
        <v>4.9644000000000004</v>
      </c>
      <c r="N205" s="22"/>
      <c r="O205" s="22"/>
      <c r="P205" s="14"/>
      <c r="Q205" s="22"/>
    </row>
    <row r="206" spans="1:17" x14ac:dyDescent="0.2">
      <c r="A206" s="30"/>
      <c r="B206" s="45"/>
      <c r="C206" s="31"/>
      <c r="D206" s="30"/>
      <c r="E206" s="30"/>
      <c r="F206" s="30"/>
      <c r="G206" s="30"/>
      <c r="H206" s="30"/>
      <c r="I206" s="24" t="s">
        <v>139</v>
      </c>
      <c r="J206" s="14">
        <v>1.46</v>
      </c>
      <c r="K206" s="25">
        <v>288</v>
      </c>
      <c r="L206" s="22"/>
      <c r="M206" s="14">
        <f>K206*J206*C200*M123</f>
        <v>165.66912000000002</v>
      </c>
      <c r="N206" s="14"/>
      <c r="O206" s="22"/>
      <c r="P206" s="14"/>
      <c r="Q206" s="22"/>
    </row>
    <row r="207" spans="1:17" s="8" customFormat="1" x14ac:dyDescent="0.2">
      <c r="A207" s="16">
        <v>11</v>
      </c>
      <c r="B207" s="43" t="s">
        <v>162</v>
      </c>
      <c r="C207" s="27">
        <v>3</v>
      </c>
      <c r="D207" s="26">
        <v>71.8</v>
      </c>
      <c r="E207" s="26">
        <v>0.3</v>
      </c>
      <c r="F207" s="26">
        <v>0.5</v>
      </c>
      <c r="G207" s="26">
        <f>D207*E207*(F207-0.1)*C207</f>
        <v>25.847999999999999</v>
      </c>
      <c r="H207" s="26">
        <f>C207*D207*(F207-0.1)*2</f>
        <v>172.32</v>
      </c>
      <c r="I207" s="24">
        <v>1</v>
      </c>
      <c r="J207" s="14">
        <f>(D207-0.05)+2*0.3+5*35*0.018</f>
        <v>75.5</v>
      </c>
      <c r="K207" s="25">
        <v>2</v>
      </c>
      <c r="L207" s="22"/>
      <c r="M207" s="22"/>
      <c r="N207" s="22"/>
      <c r="O207" s="22"/>
      <c r="P207" s="14">
        <f>J207*P123*C207*K207</f>
        <v>901.47</v>
      </c>
      <c r="Q207" s="22"/>
    </row>
    <row r="208" spans="1:17" s="8" customFormat="1" x14ac:dyDescent="0.2">
      <c r="A208" s="16"/>
      <c r="B208" s="44"/>
      <c r="C208" s="29"/>
      <c r="D208" s="28"/>
      <c r="E208" s="28"/>
      <c r="F208" s="28"/>
      <c r="G208" s="28"/>
      <c r="H208" s="28"/>
      <c r="I208" s="24">
        <v>2</v>
      </c>
      <c r="J208" s="14">
        <f>D207-1.6-0.05+2*0.15+5*35*0.018</f>
        <v>73.600000000000009</v>
      </c>
      <c r="K208" s="25">
        <v>2</v>
      </c>
      <c r="L208" s="22"/>
      <c r="M208" s="22"/>
      <c r="N208" s="22"/>
      <c r="O208" s="22"/>
      <c r="P208" s="14">
        <f>J208*P123*C207*K208</f>
        <v>878.78400000000011</v>
      </c>
      <c r="Q208" s="22"/>
    </row>
    <row r="209" spans="1:17" s="8" customFormat="1" x14ac:dyDescent="0.2">
      <c r="A209" s="16"/>
      <c r="B209" s="44"/>
      <c r="C209" s="29"/>
      <c r="D209" s="28"/>
      <c r="E209" s="28"/>
      <c r="F209" s="28"/>
      <c r="G209" s="28"/>
      <c r="H209" s="28"/>
      <c r="I209" s="24" t="s">
        <v>140</v>
      </c>
      <c r="J209" s="14">
        <f>(1.6+0.65)*2+(1.9+1.9)*9</f>
        <v>38.699999999999996</v>
      </c>
      <c r="K209" s="25">
        <v>2</v>
      </c>
      <c r="L209" s="22"/>
      <c r="M209" s="22"/>
      <c r="N209" s="22"/>
      <c r="O209" s="22"/>
      <c r="P209" s="14">
        <f>K209*P123*J209*C207</f>
        <v>462.07799999999997</v>
      </c>
      <c r="Q209" s="22"/>
    </row>
    <row r="210" spans="1:17" s="8" customFormat="1" x14ac:dyDescent="0.2">
      <c r="A210" s="16"/>
      <c r="B210" s="44"/>
      <c r="C210" s="29"/>
      <c r="D210" s="28"/>
      <c r="E210" s="28"/>
      <c r="F210" s="28"/>
      <c r="G210" s="28"/>
      <c r="H210" s="28"/>
      <c r="I210" s="24">
        <v>7</v>
      </c>
      <c r="J210" s="14">
        <f>8*(7-0.75-0.75)+(7-0.75-0.7)*2</f>
        <v>55.1</v>
      </c>
      <c r="K210" s="25">
        <v>1</v>
      </c>
      <c r="L210" s="22"/>
      <c r="M210" s="22"/>
      <c r="N210" s="22"/>
      <c r="O210" s="22"/>
      <c r="P210" s="14">
        <f>J210*K210*P123*C207</f>
        <v>328.947</v>
      </c>
      <c r="Q210" s="22"/>
    </row>
    <row r="211" spans="1:17" s="8" customFormat="1" x14ac:dyDescent="0.2">
      <c r="A211" s="16"/>
      <c r="B211" s="44"/>
      <c r="C211" s="29"/>
      <c r="D211" s="28"/>
      <c r="E211" s="28"/>
      <c r="F211" s="28"/>
      <c r="G211" s="28"/>
      <c r="H211" s="28"/>
      <c r="I211" s="24">
        <v>5</v>
      </c>
      <c r="J211" s="14">
        <f>3.8*9</f>
        <v>34.199999999999996</v>
      </c>
      <c r="K211" s="25">
        <v>2</v>
      </c>
      <c r="L211" s="22"/>
      <c r="M211" s="22"/>
      <c r="N211" s="22"/>
      <c r="O211" s="22"/>
      <c r="P211" s="14"/>
      <c r="Q211" s="22">
        <f>Q123*K211*J211*C207</f>
        <v>612.11159999999995</v>
      </c>
    </row>
    <row r="212" spans="1:17" s="8" customFormat="1" x14ac:dyDescent="0.2">
      <c r="A212" s="16"/>
      <c r="B212" s="44"/>
      <c r="C212" s="29"/>
      <c r="D212" s="28"/>
      <c r="E212" s="28"/>
      <c r="F212" s="28"/>
      <c r="G212" s="28"/>
      <c r="H212" s="28"/>
      <c r="I212" s="24">
        <v>8</v>
      </c>
      <c r="J212" s="14">
        <f>8*(7-1.25-1.25)+(7-1.25-1.3)*2</f>
        <v>44.9</v>
      </c>
      <c r="K212" s="25">
        <v>2</v>
      </c>
      <c r="L212" s="22"/>
      <c r="M212" s="22"/>
      <c r="N212" s="22"/>
      <c r="O212" s="22"/>
      <c r="P212" s="14">
        <f>J212*K212*P123*C207</f>
        <v>536.10599999999999</v>
      </c>
      <c r="Q212" s="22"/>
    </row>
    <row r="213" spans="1:17" s="8" customFormat="1" x14ac:dyDescent="0.2">
      <c r="A213" s="16"/>
      <c r="B213" s="44"/>
      <c r="C213" s="29"/>
      <c r="D213" s="28"/>
      <c r="E213" s="28"/>
      <c r="F213" s="28"/>
      <c r="G213" s="28"/>
      <c r="H213" s="28"/>
      <c r="I213" s="24">
        <v>6</v>
      </c>
      <c r="J213" s="14">
        <f>0.75+0.15+0.65</f>
        <v>1.55</v>
      </c>
      <c r="K213" s="25">
        <v>2</v>
      </c>
      <c r="L213" s="22"/>
      <c r="M213" s="22"/>
      <c r="N213" s="22"/>
      <c r="O213" s="22"/>
      <c r="P213" s="14">
        <f>P123*K213*J213*C207</f>
        <v>18.507000000000001</v>
      </c>
      <c r="Q213" s="22"/>
    </row>
    <row r="214" spans="1:17" s="8" customFormat="1" x14ac:dyDescent="0.2">
      <c r="A214" s="16"/>
      <c r="B214" s="44"/>
      <c r="C214" s="29"/>
      <c r="D214" s="28"/>
      <c r="E214" s="28"/>
      <c r="F214" s="28"/>
      <c r="G214" s="28"/>
      <c r="H214" s="28"/>
      <c r="I214" s="24" t="s">
        <v>138</v>
      </c>
      <c r="J214" s="14">
        <v>1.26</v>
      </c>
      <c r="K214" s="25">
        <v>10</v>
      </c>
      <c r="L214" s="22"/>
      <c r="M214" s="14">
        <f>M123*K214*J214*C207</f>
        <v>14.8932</v>
      </c>
      <c r="N214" s="22"/>
      <c r="O214" s="22"/>
      <c r="P214" s="14"/>
      <c r="Q214" s="22"/>
    </row>
    <row r="215" spans="1:17" s="8" customFormat="1" ht="12" customHeight="1" x14ac:dyDescent="0.2">
      <c r="A215" s="30"/>
      <c r="B215" s="45"/>
      <c r="C215" s="31"/>
      <c r="D215" s="30"/>
      <c r="E215" s="30"/>
      <c r="F215" s="30"/>
      <c r="G215" s="30"/>
      <c r="H215" s="30"/>
      <c r="I215" s="24" t="s">
        <v>139</v>
      </c>
      <c r="J215" s="14">
        <v>1.46</v>
      </c>
      <c r="K215" s="25">
        <v>300</v>
      </c>
      <c r="L215" s="22"/>
      <c r="M215" s="14">
        <f>K215*J215*C207*M123</f>
        <v>517.71600000000001</v>
      </c>
      <c r="N215" s="14"/>
      <c r="O215" s="22"/>
      <c r="P215" s="14"/>
      <c r="Q215" s="22"/>
    </row>
    <row r="216" spans="1:17" x14ac:dyDescent="0.2">
      <c r="A216" s="16">
        <v>11</v>
      </c>
      <c r="B216" s="43" t="s">
        <v>163</v>
      </c>
      <c r="C216" s="27">
        <v>2</v>
      </c>
      <c r="D216" s="26">
        <v>71.8</v>
      </c>
      <c r="E216" s="26">
        <v>0.3</v>
      </c>
      <c r="F216" s="26">
        <v>0.5</v>
      </c>
      <c r="G216" s="26">
        <f>C216*7.7*E216*0.4+14.35*0.5*0.3*C216+(D216-7.7-14.35)*E216*(F216-0.1)*C216</f>
        <v>18.092999999999996</v>
      </c>
      <c r="H216" s="26">
        <f>C216*7.7*0.4*2+14.35*0.5*C216*2+(D216-7.7-14.35)*2*(F216-0.1)*C216</f>
        <v>120.61999999999999</v>
      </c>
      <c r="I216" s="24">
        <v>1</v>
      </c>
      <c r="J216" s="14">
        <f>D216-0.05+0.3+35*0.022+35*0.018*5</f>
        <v>75.97</v>
      </c>
      <c r="K216" s="25">
        <v>2</v>
      </c>
      <c r="L216" s="22"/>
      <c r="M216" s="22"/>
      <c r="N216" s="22"/>
      <c r="O216" s="22"/>
      <c r="P216" s="14">
        <f>J216*P123*C216*K216</f>
        <v>604.72119999999995</v>
      </c>
      <c r="Q216" s="22"/>
    </row>
    <row r="217" spans="1:17" x14ac:dyDescent="0.2">
      <c r="B217" s="44"/>
      <c r="C217" s="29"/>
      <c r="D217" s="28"/>
      <c r="E217" s="28"/>
      <c r="F217" s="28"/>
      <c r="G217" s="28"/>
      <c r="H217" s="28"/>
      <c r="I217" s="24">
        <v>2</v>
      </c>
      <c r="J217" s="14">
        <f>D216-1.6-0.05+2*0.15+5*35*0.018</f>
        <v>73.600000000000009</v>
      </c>
      <c r="K217" s="25">
        <v>2</v>
      </c>
      <c r="L217" s="22"/>
      <c r="M217" s="22"/>
      <c r="N217" s="22"/>
      <c r="O217" s="22"/>
      <c r="P217" s="14">
        <f>J217*P123*C216*K217</f>
        <v>585.85600000000011</v>
      </c>
      <c r="Q217" s="22"/>
    </row>
    <row r="218" spans="1:17" x14ac:dyDescent="0.2">
      <c r="B218" s="44"/>
      <c r="C218" s="29"/>
      <c r="D218" s="28"/>
      <c r="E218" s="28"/>
      <c r="F218" s="28"/>
      <c r="G218" s="28"/>
      <c r="H218" s="28"/>
      <c r="I218" s="24" t="s">
        <v>164</v>
      </c>
      <c r="J218" s="14">
        <f>(1.6+0.65)+(1.9+1.9)</f>
        <v>6.05</v>
      </c>
      <c r="K218" s="25">
        <v>2</v>
      </c>
      <c r="L218" s="22"/>
      <c r="M218" s="22"/>
      <c r="N218" s="22"/>
      <c r="O218" s="22"/>
      <c r="P218" s="14">
        <f>K218*P123*J218*C216</f>
        <v>48.158000000000001</v>
      </c>
      <c r="Q218" s="22"/>
    </row>
    <row r="219" spans="1:17" x14ac:dyDescent="0.2">
      <c r="B219" s="44"/>
      <c r="C219" s="29"/>
      <c r="D219" s="28"/>
      <c r="E219" s="28"/>
      <c r="F219" s="28"/>
      <c r="G219" s="28"/>
      <c r="H219" s="28"/>
      <c r="I219" s="24">
        <v>4</v>
      </c>
      <c r="J219" s="14">
        <f>(7-1.25-1.25)*2</f>
        <v>9</v>
      </c>
      <c r="K219" s="25">
        <v>2</v>
      </c>
      <c r="L219" s="22"/>
      <c r="M219" s="22"/>
      <c r="N219" s="22"/>
      <c r="O219" s="22"/>
      <c r="P219" s="14">
        <f>J219*K219*P123*C216</f>
        <v>71.64</v>
      </c>
      <c r="Q219" s="22"/>
    </row>
    <row r="220" spans="1:17" x14ac:dyDescent="0.2">
      <c r="B220" s="44"/>
      <c r="C220" s="29"/>
      <c r="D220" s="28"/>
      <c r="E220" s="28"/>
      <c r="F220" s="28"/>
      <c r="G220" s="28"/>
      <c r="H220" s="28"/>
      <c r="I220" s="24">
        <v>6</v>
      </c>
      <c r="J220" s="14">
        <f>7+2*35*0.022</f>
        <v>8.5399999999999991</v>
      </c>
      <c r="K220" s="25">
        <v>2</v>
      </c>
      <c r="L220" s="22"/>
      <c r="M220" s="22"/>
      <c r="N220" s="22"/>
      <c r="O220" s="22"/>
      <c r="P220" s="14"/>
      <c r="Q220" s="14">
        <f>C216*J220*K220*Q123</f>
        <v>101.89927999999999</v>
      </c>
    </row>
    <row r="221" spans="1:17" x14ac:dyDescent="0.2">
      <c r="B221" s="44"/>
      <c r="C221" s="29"/>
      <c r="D221" s="28"/>
      <c r="E221" s="28"/>
      <c r="F221" s="28"/>
      <c r="G221" s="28"/>
      <c r="H221" s="28"/>
      <c r="I221" s="24">
        <v>7</v>
      </c>
      <c r="J221" s="14">
        <v>5</v>
      </c>
      <c r="K221" s="25">
        <v>2</v>
      </c>
      <c r="L221" s="22"/>
      <c r="M221" s="22"/>
      <c r="N221" s="22"/>
      <c r="O221" s="22"/>
      <c r="P221" s="14"/>
      <c r="Q221" s="14">
        <f>Q123*K221*J221*C216</f>
        <v>59.660000000000004</v>
      </c>
    </row>
    <row r="222" spans="1:17" x14ac:dyDescent="0.2">
      <c r="B222" s="44"/>
      <c r="C222" s="29"/>
      <c r="D222" s="28"/>
      <c r="E222" s="28"/>
      <c r="F222" s="28"/>
      <c r="G222" s="28"/>
      <c r="H222" s="28"/>
      <c r="I222" s="24">
        <v>8</v>
      </c>
      <c r="J222" s="14">
        <v>3.8</v>
      </c>
      <c r="K222" s="25">
        <v>2</v>
      </c>
      <c r="L222" s="22"/>
      <c r="M222" s="22"/>
      <c r="N222" s="22"/>
      <c r="O222" s="22"/>
      <c r="P222" s="14">
        <f>J222*K222*P123*C216</f>
        <v>30.247999999999998</v>
      </c>
      <c r="Q222" s="22"/>
    </row>
    <row r="223" spans="1:17" x14ac:dyDescent="0.2">
      <c r="B223" s="44"/>
      <c r="C223" s="29"/>
      <c r="D223" s="28"/>
      <c r="E223" s="28"/>
      <c r="F223" s="28"/>
      <c r="G223" s="28"/>
      <c r="H223" s="28"/>
      <c r="I223" s="24">
        <v>11</v>
      </c>
      <c r="J223" s="14">
        <f>53.4+0.3+3*0.018*35+0.8</f>
        <v>56.389999999999993</v>
      </c>
      <c r="K223" s="25">
        <v>2</v>
      </c>
      <c r="L223" s="22"/>
      <c r="M223" s="22"/>
      <c r="N223" s="22"/>
      <c r="O223" s="22"/>
      <c r="P223" s="14">
        <f>J223*K223*P123*C216</f>
        <v>448.86439999999993</v>
      </c>
      <c r="Q223" s="22"/>
    </row>
    <row r="224" spans="1:17" x14ac:dyDescent="0.2">
      <c r="B224" s="44"/>
      <c r="C224" s="29"/>
      <c r="D224" s="28"/>
      <c r="E224" s="28"/>
      <c r="F224" s="28"/>
      <c r="G224" s="28"/>
      <c r="H224" s="28"/>
      <c r="I224" s="24">
        <v>9</v>
      </c>
      <c r="J224" s="14">
        <f>7-1.1</f>
        <v>5.9</v>
      </c>
      <c r="K224" s="25">
        <v>2</v>
      </c>
      <c r="L224" s="22"/>
      <c r="M224" s="22"/>
      <c r="N224" s="22"/>
      <c r="O224" s="22"/>
      <c r="P224" s="14">
        <f>J224*K224*P123*C216</f>
        <v>46.964000000000006</v>
      </c>
      <c r="Q224" s="22"/>
    </row>
    <row r="225" spans="1:17" x14ac:dyDescent="0.2">
      <c r="B225" s="44"/>
      <c r="C225" s="29"/>
      <c r="D225" s="28"/>
      <c r="E225" s="28"/>
      <c r="F225" s="28"/>
      <c r="G225" s="28"/>
      <c r="H225" s="28"/>
      <c r="I225" s="24">
        <v>10</v>
      </c>
      <c r="J225" s="14">
        <f>(7-1.25-1.25)*8</f>
        <v>36</v>
      </c>
      <c r="K225" s="25">
        <v>2</v>
      </c>
      <c r="L225" s="22"/>
      <c r="M225" s="22"/>
      <c r="N225" s="22"/>
      <c r="O225" s="22"/>
      <c r="P225" s="14">
        <f>J225*K225*P123*C216</f>
        <v>286.56</v>
      </c>
      <c r="Q225" s="22"/>
    </row>
    <row r="226" spans="1:17" x14ac:dyDescent="0.2">
      <c r="B226" s="44"/>
      <c r="C226" s="29"/>
      <c r="D226" s="28"/>
      <c r="E226" s="28"/>
      <c r="F226" s="28"/>
      <c r="G226" s="28"/>
      <c r="H226" s="28"/>
      <c r="I226" s="24">
        <v>12</v>
      </c>
      <c r="J226" s="14">
        <f>7*5+(1.6+0.65)</f>
        <v>37.25</v>
      </c>
      <c r="K226" s="25">
        <v>2</v>
      </c>
      <c r="L226" s="22"/>
      <c r="M226" s="22"/>
      <c r="N226" s="22"/>
      <c r="O226" s="22"/>
      <c r="P226" s="14">
        <f>J226*K226*P123*C216</f>
        <v>296.51</v>
      </c>
      <c r="Q226" s="22"/>
    </row>
    <row r="227" spans="1:17" x14ac:dyDescent="0.2">
      <c r="B227" s="44"/>
      <c r="C227" s="29"/>
      <c r="D227" s="28"/>
      <c r="E227" s="28"/>
      <c r="F227" s="28"/>
      <c r="G227" s="28"/>
      <c r="H227" s="28"/>
      <c r="I227" s="24">
        <v>13</v>
      </c>
      <c r="J227" s="14">
        <f>7*3.8</f>
        <v>26.599999999999998</v>
      </c>
      <c r="K227" s="25">
        <v>2</v>
      </c>
      <c r="L227" s="22"/>
      <c r="M227" s="22"/>
      <c r="N227" s="22"/>
      <c r="O227" s="22"/>
      <c r="P227" s="14">
        <f>J227*K227*P123*C216</f>
        <v>211.73599999999999</v>
      </c>
      <c r="Q227" s="22"/>
    </row>
    <row r="228" spans="1:17" x14ac:dyDescent="0.2">
      <c r="B228" s="44"/>
      <c r="C228" s="29"/>
      <c r="D228" s="28"/>
      <c r="E228" s="28"/>
      <c r="F228" s="28"/>
      <c r="G228" s="28"/>
      <c r="H228" s="28"/>
      <c r="I228" s="24">
        <v>14</v>
      </c>
      <c r="J228" s="14">
        <f>7*(7-1.25-1.25)</f>
        <v>31.5</v>
      </c>
      <c r="K228" s="25">
        <v>1</v>
      </c>
      <c r="L228" s="22"/>
      <c r="M228" s="22"/>
      <c r="N228" s="22"/>
      <c r="O228" s="22"/>
      <c r="P228" s="14">
        <f>J228*K228*P123*C216</f>
        <v>125.37</v>
      </c>
      <c r="Q228" s="22"/>
    </row>
    <row r="229" spans="1:17" x14ac:dyDescent="0.2">
      <c r="B229" s="44"/>
      <c r="C229" s="29"/>
      <c r="D229" s="28"/>
      <c r="E229" s="28"/>
      <c r="F229" s="28"/>
      <c r="G229" s="28"/>
      <c r="H229" s="28"/>
      <c r="I229" s="24">
        <v>15</v>
      </c>
      <c r="J229" s="14">
        <f>0.75+0.15+0.65</f>
        <v>1.55</v>
      </c>
      <c r="K229" s="25">
        <v>2</v>
      </c>
      <c r="L229" s="22"/>
      <c r="M229" s="22"/>
      <c r="N229" s="22"/>
      <c r="O229" s="22"/>
      <c r="P229" s="14">
        <f>P123*K229*J229*C216</f>
        <v>12.338000000000001</v>
      </c>
      <c r="Q229" s="22"/>
    </row>
    <row r="230" spans="1:17" x14ac:dyDescent="0.2">
      <c r="B230" s="44"/>
      <c r="C230" s="29"/>
      <c r="D230" s="28"/>
      <c r="E230" s="28"/>
      <c r="F230" s="28"/>
      <c r="G230" s="28"/>
      <c r="H230" s="28"/>
      <c r="I230" s="24" t="s">
        <v>146</v>
      </c>
      <c r="J230" s="14">
        <v>1.66</v>
      </c>
      <c r="K230" s="25">
        <v>70</v>
      </c>
      <c r="L230" s="22"/>
      <c r="M230" s="14">
        <f>M123*K230*J230*C216</f>
        <v>91.565600000000003</v>
      </c>
      <c r="N230" s="22"/>
      <c r="O230" s="22"/>
      <c r="P230" s="14"/>
      <c r="Q230" s="22"/>
    </row>
    <row r="231" spans="1:17" x14ac:dyDescent="0.2">
      <c r="B231" s="44"/>
      <c r="C231" s="29"/>
      <c r="D231" s="28"/>
      <c r="E231" s="28"/>
      <c r="F231" s="28"/>
      <c r="G231" s="28"/>
      <c r="H231" s="28"/>
      <c r="I231" s="24" t="s">
        <v>138</v>
      </c>
      <c r="J231" s="14">
        <v>1.26</v>
      </c>
      <c r="K231" s="25">
        <v>10</v>
      </c>
      <c r="L231" s="22"/>
      <c r="M231" s="14">
        <f>M123*K231*J231*C216</f>
        <v>9.9288000000000007</v>
      </c>
      <c r="N231" s="22"/>
      <c r="O231" s="22"/>
      <c r="P231" s="14"/>
      <c r="Q231" s="22"/>
    </row>
    <row r="232" spans="1:17" x14ac:dyDescent="0.2">
      <c r="A232" s="30"/>
      <c r="B232" s="45"/>
      <c r="C232" s="31"/>
      <c r="D232" s="30"/>
      <c r="E232" s="30"/>
      <c r="F232" s="30"/>
      <c r="G232" s="30"/>
      <c r="H232" s="30"/>
      <c r="I232" s="24" t="s">
        <v>139</v>
      </c>
      <c r="J232" s="14">
        <v>1.46</v>
      </c>
      <c r="K232" s="25">
        <v>288</v>
      </c>
      <c r="L232" s="22"/>
      <c r="M232" s="14">
        <f>K232*J232*C216*M123</f>
        <v>331.33824000000004</v>
      </c>
      <c r="N232" s="14"/>
      <c r="O232" s="22"/>
      <c r="P232" s="14"/>
      <c r="Q232" s="22"/>
    </row>
    <row r="233" spans="1:17" s="8" customFormat="1" x14ac:dyDescent="0.2">
      <c r="A233" s="16">
        <v>12</v>
      </c>
      <c r="B233" s="43" t="s">
        <v>165</v>
      </c>
      <c r="C233" s="27">
        <v>1</v>
      </c>
      <c r="D233" s="26">
        <v>64.8</v>
      </c>
      <c r="E233" s="26">
        <v>0.3</v>
      </c>
      <c r="F233" s="26">
        <v>0.5</v>
      </c>
      <c r="G233" s="26">
        <f>D233*E233*(F233-0.1)*C233</f>
        <v>7.7759999999999998</v>
      </c>
      <c r="H233" s="26">
        <f>C233*D233*(F233-0.1)*2</f>
        <v>51.84</v>
      </c>
      <c r="I233" s="24">
        <v>1</v>
      </c>
      <c r="J233" s="14">
        <f>(D233-0.05)+2*0.3+4*35*0.018</f>
        <v>67.86999999999999</v>
      </c>
      <c r="K233" s="25">
        <v>2</v>
      </c>
      <c r="L233" s="22"/>
      <c r="M233" s="22"/>
      <c r="N233" s="22"/>
      <c r="O233" s="22"/>
      <c r="P233" s="14">
        <f>J233*P123*C233*K233</f>
        <v>270.12259999999998</v>
      </c>
      <c r="Q233" s="22"/>
    </row>
    <row r="234" spans="1:17" x14ac:dyDescent="0.2">
      <c r="B234" s="44"/>
      <c r="C234" s="29"/>
      <c r="D234" s="28"/>
      <c r="E234" s="28"/>
      <c r="F234" s="28"/>
      <c r="G234" s="28"/>
      <c r="H234" s="28"/>
      <c r="I234" s="24">
        <v>2</v>
      </c>
      <c r="J234" s="14">
        <f>D233-1.6-0.05+2*0.15+4*35*0.018</f>
        <v>65.97</v>
      </c>
      <c r="K234" s="25">
        <v>2</v>
      </c>
      <c r="L234" s="22"/>
      <c r="M234" s="22"/>
      <c r="N234" s="22"/>
      <c r="O234" s="22"/>
      <c r="P234" s="14">
        <f>J234*P123*C233*K234</f>
        <v>262.56060000000002</v>
      </c>
      <c r="Q234" s="22"/>
    </row>
    <row r="235" spans="1:17" x14ac:dyDescent="0.2">
      <c r="B235" s="44"/>
      <c r="C235" s="29"/>
      <c r="D235" s="28"/>
      <c r="E235" s="28"/>
      <c r="F235" s="28"/>
      <c r="G235" s="28"/>
      <c r="H235" s="28"/>
      <c r="I235" s="24" t="s">
        <v>166</v>
      </c>
      <c r="J235" s="14">
        <f>(1.6+0.65)*2+5*8</f>
        <v>44.5</v>
      </c>
      <c r="K235" s="25">
        <v>2</v>
      </c>
      <c r="L235" s="22"/>
      <c r="M235" s="22"/>
      <c r="N235" s="22"/>
      <c r="O235" s="22"/>
      <c r="P235" s="14">
        <f>K235*P123*J235*C233</f>
        <v>177.10999999999999</v>
      </c>
      <c r="Q235" s="22"/>
    </row>
    <row r="236" spans="1:17" s="8" customFormat="1" x14ac:dyDescent="0.2">
      <c r="A236" s="16"/>
      <c r="B236" s="44"/>
      <c r="C236" s="29"/>
      <c r="D236" s="28"/>
      <c r="E236" s="28"/>
      <c r="F236" s="28"/>
      <c r="G236" s="28"/>
      <c r="H236" s="28"/>
      <c r="I236" s="24" t="s">
        <v>158</v>
      </c>
      <c r="J236" s="14">
        <f>8*3.8+2*(1.6+0.65)</f>
        <v>34.9</v>
      </c>
      <c r="K236" s="25">
        <v>2</v>
      </c>
      <c r="L236" s="22"/>
      <c r="M236" s="22"/>
      <c r="N236" s="22"/>
      <c r="O236" s="22"/>
      <c r="P236" s="14"/>
      <c r="Q236" s="14">
        <f>K236*J236*Q123*C233</f>
        <v>208.21340000000001</v>
      </c>
    </row>
    <row r="237" spans="1:17" s="8" customFormat="1" x14ac:dyDescent="0.2">
      <c r="A237" s="16"/>
      <c r="B237" s="44"/>
      <c r="C237" s="29"/>
      <c r="D237" s="28"/>
      <c r="E237" s="28"/>
      <c r="F237" s="28"/>
      <c r="G237" s="28"/>
      <c r="H237" s="28"/>
      <c r="I237" s="24">
        <v>5</v>
      </c>
      <c r="J237" s="14">
        <f>9*(7-1.5)</f>
        <v>49.5</v>
      </c>
      <c r="K237" s="25">
        <v>1</v>
      </c>
      <c r="L237" s="22"/>
      <c r="M237" s="22"/>
      <c r="N237" s="22"/>
      <c r="O237" s="22"/>
      <c r="P237" s="14">
        <f>J237*K237*P123*C233</f>
        <v>98.504999999999995</v>
      </c>
      <c r="Q237" s="22"/>
    </row>
    <row r="238" spans="1:17" s="8" customFormat="1" x14ac:dyDescent="0.2">
      <c r="A238" s="16"/>
      <c r="B238" s="44"/>
      <c r="C238" s="29"/>
      <c r="D238" s="28"/>
      <c r="E238" s="28"/>
      <c r="F238" s="28"/>
      <c r="G238" s="28"/>
      <c r="H238" s="28"/>
      <c r="I238" s="24">
        <v>6</v>
      </c>
      <c r="J238" s="14">
        <f>9*(7-2.5)</f>
        <v>40.5</v>
      </c>
      <c r="K238" s="25">
        <v>2</v>
      </c>
      <c r="L238" s="22"/>
      <c r="M238" s="22"/>
      <c r="N238" s="22"/>
      <c r="O238" s="22"/>
      <c r="P238" s="14">
        <f>P123*K238*J238*C233</f>
        <v>161.19</v>
      </c>
      <c r="Q238" s="22"/>
    </row>
    <row r="239" spans="1:17" s="8" customFormat="1" x14ac:dyDescent="0.2">
      <c r="A239" s="16"/>
      <c r="B239" s="44"/>
      <c r="C239" s="29"/>
      <c r="D239" s="28"/>
      <c r="E239" s="28"/>
      <c r="F239" s="28"/>
      <c r="G239" s="28"/>
      <c r="H239" s="28"/>
      <c r="I239" s="24">
        <v>13</v>
      </c>
      <c r="J239" s="14">
        <f>0.75+0.15+0.65</f>
        <v>1.55</v>
      </c>
      <c r="K239" s="25">
        <v>2</v>
      </c>
      <c r="L239" s="22"/>
      <c r="M239" s="22"/>
      <c r="N239" s="22"/>
      <c r="O239" s="22"/>
      <c r="P239" s="14">
        <f>P123*K239*J239*C233</f>
        <v>6.1690000000000005</v>
      </c>
      <c r="Q239" s="22"/>
    </row>
    <row r="240" spans="1:17" s="8" customFormat="1" x14ac:dyDescent="0.2">
      <c r="A240" s="16"/>
      <c r="B240" s="44"/>
      <c r="C240" s="29"/>
      <c r="D240" s="28"/>
      <c r="E240" s="28"/>
      <c r="F240" s="28"/>
      <c r="G240" s="28"/>
      <c r="H240" s="28"/>
      <c r="I240" s="24" t="s">
        <v>138</v>
      </c>
      <c r="J240" s="14">
        <v>1.26</v>
      </c>
      <c r="K240" s="25">
        <v>10</v>
      </c>
      <c r="L240" s="22"/>
      <c r="M240" s="14">
        <f>M123*K240*J240*C233</f>
        <v>4.9644000000000004</v>
      </c>
      <c r="N240" s="22"/>
      <c r="O240" s="22"/>
      <c r="P240" s="14"/>
      <c r="Q240" s="22"/>
    </row>
    <row r="241" spans="1:17" s="8" customFormat="1" x14ac:dyDescent="0.2">
      <c r="A241" s="39"/>
      <c r="B241" s="45"/>
      <c r="C241" s="31"/>
      <c r="D241" s="30"/>
      <c r="E241" s="30"/>
      <c r="F241" s="30"/>
      <c r="G241" s="30"/>
      <c r="H241" s="30"/>
      <c r="I241" s="24" t="s">
        <v>139</v>
      </c>
      <c r="J241" s="14">
        <v>1.46</v>
      </c>
      <c r="K241" s="25">
        <v>356</v>
      </c>
      <c r="L241" s="22"/>
      <c r="M241" s="14">
        <f>K241*J241*C233*M123</f>
        <v>204.78543999999999</v>
      </c>
      <c r="N241" s="14"/>
      <c r="O241" s="22"/>
      <c r="P241" s="14"/>
      <c r="Q241" s="22"/>
    </row>
    <row r="242" spans="1:17" x14ac:dyDescent="0.2">
      <c r="A242" s="16">
        <v>12</v>
      </c>
      <c r="B242" s="43" t="s">
        <v>167</v>
      </c>
      <c r="C242" s="27">
        <v>1</v>
      </c>
      <c r="D242" s="26">
        <v>4.9000000000000004</v>
      </c>
      <c r="E242" s="26">
        <v>0.2</v>
      </c>
      <c r="F242" s="26">
        <v>0.4</v>
      </c>
      <c r="G242" s="26">
        <f>D242*E242*(F242-0.1)*C242</f>
        <v>0.29400000000000009</v>
      </c>
      <c r="H242" s="26">
        <f>C242*D242*(F242-0.1)*2</f>
        <v>2.9400000000000008</v>
      </c>
      <c r="I242" s="24">
        <v>1</v>
      </c>
      <c r="J242" s="14">
        <f>(D242-0.05)+2*0.3</f>
        <v>5.45</v>
      </c>
      <c r="K242" s="25">
        <v>2</v>
      </c>
      <c r="L242" s="22"/>
      <c r="M242" s="22"/>
      <c r="N242" s="22"/>
      <c r="O242" s="22"/>
      <c r="P242" s="14">
        <f>J242*P123*C242*K242</f>
        <v>21.690999999999999</v>
      </c>
      <c r="Q242" s="22"/>
    </row>
    <row r="243" spans="1:17" x14ac:dyDescent="0.2">
      <c r="B243" s="44"/>
      <c r="C243" s="29"/>
      <c r="D243" s="28"/>
      <c r="E243" s="28"/>
      <c r="F243" s="28"/>
      <c r="G243" s="28"/>
      <c r="H243" s="28"/>
      <c r="I243" s="24">
        <v>3</v>
      </c>
      <c r="J243" s="14">
        <f>J242</f>
        <v>5.45</v>
      </c>
      <c r="K243" s="25">
        <v>2</v>
      </c>
      <c r="L243" s="22"/>
      <c r="M243" s="22"/>
      <c r="N243" s="22"/>
      <c r="O243" s="22"/>
      <c r="P243" s="14">
        <f>P242</f>
        <v>21.690999999999999</v>
      </c>
      <c r="Q243" s="22"/>
    </row>
    <row r="244" spans="1:17" x14ac:dyDescent="0.2">
      <c r="B244" s="44"/>
      <c r="C244" s="29"/>
      <c r="D244" s="28"/>
      <c r="E244" s="28"/>
      <c r="F244" s="28"/>
      <c r="G244" s="28"/>
      <c r="H244" s="28"/>
      <c r="I244" s="24">
        <v>2</v>
      </c>
      <c r="J244" s="14">
        <f>D242-0.05+2*0.15</f>
        <v>5.15</v>
      </c>
      <c r="K244" s="25">
        <v>2</v>
      </c>
      <c r="L244" s="22"/>
      <c r="M244" s="22"/>
      <c r="N244" s="22"/>
      <c r="O244" s="22"/>
      <c r="P244" s="14">
        <f>J244*P123*C242*K244</f>
        <v>20.497</v>
      </c>
      <c r="Q244" s="22"/>
    </row>
    <row r="245" spans="1:17" x14ac:dyDescent="0.2">
      <c r="A245" s="39"/>
      <c r="B245" s="45"/>
      <c r="C245" s="31"/>
      <c r="D245" s="30"/>
      <c r="E245" s="30"/>
      <c r="F245" s="30"/>
      <c r="G245" s="30"/>
      <c r="H245" s="30"/>
      <c r="I245" s="24" t="s">
        <v>138</v>
      </c>
      <c r="J245" s="14">
        <v>1.06</v>
      </c>
      <c r="K245" s="25">
        <v>24</v>
      </c>
      <c r="L245" s="22"/>
      <c r="M245" s="14">
        <f>K245*J245*C242*M123</f>
        <v>10.02336</v>
      </c>
      <c r="N245" s="14"/>
      <c r="O245" s="22"/>
      <c r="P245" s="14"/>
      <c r="Q245" s="22"/>
    </row>
    <row r="246" spans="1:17" x14ac:dyDescent="0.2">
      <c r="A246" s="16">
        <v>11</v>
      </c>
      <c r="B246" s="43" t="s">
        <v>168</v>
      </c>
      <c r="C246" s="27">
        <v>2</v>
      </c>
      <c r="D246" s="26">
        <v>29.05</v>
      </c>
      <c r="E246" s="26">
        <v>0.3</v>
      </c>
      <c r="F246" s="26">
        <v>0.6</v>
      </c>
      <c r="G246" s="26">
        <f>D246*E246*(F246-0.1)*C246</f>
        <v>8.7149999999999999</v>
      </c>
      <c r="H246" s="26">
        <f>C246*D246*(F246-0.1)*2</f>
        <v>58.1</v>
      </c>
      <c r="I246" s="24">
        <v>1</v>
      </c>
      <c r="J246" s="14">
        <f>D246-0.05+0.3+35*0.018</f>
        <v>29.93</v>
      </c>
      <c r="K246" s="25">
        <v>2</v>
      </c>
      <c r="L246" s="22"/>
      <c r="M246" s="22"/>
      <c r="N246" s="22"/>
      <c r="O246" s="22"/>
      <c r="P246" s="14">
        <f>J246*P123*C246*K246</f>
        <v>238.24279999999999</v>
      </c>
      <c r="Q246" s="22"/>
    </row>
    <row r="247" spans="1:17" x14ac:dyDescent="0.2">
      <c r="B247" s="44"/>
      <c r="C247" s="29"/>
      <c r="D247" s="28"/>
      <c r="E247" s="28"/>
      <c r="F247" s="28"/>
      <c r="G247" s="28"/>
      <c r="H247" s="28"/>
      <c r="I247" s="24">
        <v>2</v>
      </c>
      <c r="J247" s="14">
        <f>D246-0.8-0.05+2*0.15+35*0.018</f>
        <v>29.13</v>
      </c>
      <c r="K247" s="25">
        <v>2</v>
      </c>
      <c r="L247" s="22"/>
      <c r="M247" s="22"/>
      <c r="N247" s="22"/>
      <c r="O247" s="22"/>
      <c r="P247" s="14">
        <f>J247*P123*C246*K247</f>
        <v>231.87479999999999</v>
      </c>
      <c r="Q247" s="22"/>
    </row>
    <row r="248" spans="1:17" x14ac:dyDescent="0.2">
      <c r="B248" s="44"/>
      <c r="C248" s="29"/>
      <c r="D248" s="28"/>
      <c r="E248" s="28"/>
      <c r="F248" s="28"/>
      <c r="G248" s="28"/>
      <c r="H248" s="28"/>
      <c r="I248" s="24" t="s">
        <v>169</v>
      </c>
      <c r="J248" s="14">
        <f>(2.1+0.65)+(1.9+1.9+1.2)*3+(1.8+1.05)</f>
        <v>20.6</v>
      </c>
      <c r="K248" s="25">
        <v>2</v>
      </c>
      <c r="L248" s="22"/>
      <c r="M248" s="22"/>
      <c r="N248" s="22"/>
      <c r="O248" s="22"/>
      <c r="P248" s="14">
        <f>K248*P123*J248*C246</f>
        <v>163.976</v>
      </c>
      <c r="Q248" s="22"/>
    </row>
    <row r="249" spans="1:17" x14ac:dyDescent="0.2">
      <c r="B249" s="44"/>
      <c r="C249" s="29"/>
      <c r="D249" s="28"/>
      <c r="E249" s="28"/>
      <c r="F249" s="28"/>
      <c r="G249" s="28"/>
      <c r="H249" s="28"/>
      <c r="I249" s="24" t="s">
        <v>170</v>
      </c>
      <c r="J249" s="14">
        <f>(0.8+1.6)+(0.8+1.8)+3*(1.9+1.9)</f>
        <v>16.399999999999999</v>
      </c>
      <c r="K249" s="25">
        <v>2</v>
      </c>
      <c r="L249" s="22"/>
      <c r="M249" s="22"/>
      <c r="N249" s="22"/>
      <c r="O249" s="22"/>
      <c r="P249" s="14"/>
      <c r="Q249" s="14">
        <f>K249*J249*Q123*C246</f>
        <v>195.6848</v>
      </c>
    </row>
    <row r="250" spans="1:17" x14ac:dyDescent="0.2">
      <c r="B250" s="44"/>
      <c r="C250" s="29"/>
      <c r="D250" s="28"/>
      <c r="E250" s="28"/>
      <c r="F250" s="28"/>
      <c r="G250" s="28"/>
      <c r="H250" s="28"/>
      <c r="I250" s="24">
        <v>9</v>
      </c>
      <c r="J250" s="14">
        <f>(7-1.1)*4</f>
        <v>23.6</v>
      </c>
      <c r="K250" s="25">
        <v>1</v>
      </c>
      <c r="L250" s="22"/>
      <c r="M250" s="22"/>
      <c r="N250" s="22"/>
      <c r="O250" s="22"/>
      <c r="P250" s="14">
        <f>K250*P123*J250*C246</f>
        <v>93.928000000000011</v>
      </c>
      <c r="Q250" s="14"/>
    </row>
    <row r="251" spans="1:17" x14ac:dyDescent="0.2">
      <c r="B251" s="44"/>
      <c r="C251" s="29"/>
      <c r="D251" s="28"/>
      <c r="E251" s="28"/>
      <c r="F251" s="28"/>
      <c r="G251" s="28"/>
      <c r="H251" s="28"/>
      <c r="I251" s="24">
        <v>10</v>
      </c>
      <c r="J251" s="14">
        <f>4*(7-1.25)</f>
        <v>23</v>
      </c>
      <c r="K251" s="25">
        <v>2</v>
      </c>
      <c r="L251" s="22"/>
      <c r="M251" s="22"/>
      <c r="N251" s="22"/>
      <c r="O251" s="22"/>
      <c r="P251" s="14">
        <f>J251*K251*P123*C246</f>
        <v>183.08</v>
      </c>
      <c r="Q251" s="22"/>
    </row>
    <row r="252" spans="1:17" x14ac:dyDescent="0.2">
      <c r="B252" s="44"/>
      <c r="C252" s="29"/>
      <c r="D252" s="28"/>
      <c r="E252" s="28"/>
      <c r="F252" s="28"/>
      <c r="G252" s="28"/>
      <c r="H252" s="28"/>
      <c r="I252" s="24">
        <v>11</v>
      </c>
      <c r="J252" s="14">
        <f>0.75+0.15+0.65</f>
        <v>1.55</v>
      </c>
      <c r="K252" s="25">
        <v>2</v>
      </c>
      <c r="L252" s="22"/>
      <c r="M252" s="22"/>
      <c r="N252" s="22"/>
      <c r="O252" s="22"/>
      <c r="P252" s="14">
        <f>P123*K252*J252*C246</f>
        <v>12.338000000000001</v>
      </c>
      <c r="Q252" s="22"/>
    </row>
    <row r="253" spans="1:17" x14ac:dyDescent="0.2">
      <c r="B253" s="44"/>
      <c r="C253" s="29"/>
      <c r="D253" s="28"/>
      <c r="E253" s="28"/>
      <c r="F253" s="28"/>
      <c r="G253" s="28"/>
      <c r="H253" s="28"/>
      <c r="I253" s="24" t="s">
        <v>171</v>
      </c>
      <c r="J253" s="14">
        <v>1.66</v>
      </c>
      <c r="K253" s="25">
        <v>288</v>
      </c>
      <c r="L253" s="22"/>
      <c r="M253" s="14">
        <f>M123*K253*J253*C246</f>
        <v>376.72703999999999</v>
      </c>
      <c r="N253" s="22"/>
      <c r="O253" s="22"/>
      <c r="P253" s="14"/>
      <c r="Q253" s="22"/>
    </row>
    <row r="254" spans="1:17" x14ac:dyDescent="0.2">
      <c r="A254" s="39"/>
      <c r="B254" s="45"/>
      <c r="C254" s="31"/>
      <c r="D254" s="30"/>
      <c r="E254" s="30"/>
      <c r="F254" s="30"/>
      <c r="G254" s="30"/>
      <c r="H254" s="30"/>
      <c r="I254" s="24" t="s">
        <v>138</v>
      </c>
      <c r="J254" s="14">
        <v>1.26</v>
      </c>
      <c r="K254" s="25">
        <v>10</v>
      </c>
      <c r="L254" s="22"/>
      <c r="M254" s="14">
        <f>M123*K254*J254*C246</f>
        <v>9.9288000000000007</v>
      </c>
      <c r="N254" s="22"/>
      <c r="O254" s="22"/>
      <c r="P254" s="14"/>
      <c r="Q254" s="22"/>
    </row>
    <row r="255" spans="1:17" s="15" customFormat="1" x14ac:dyDescent="0.2">
      <c r="A255" s="26">
        <v>12</v>
      </c>
      <c r="B255" s="43" t="s">
        <v>172</v>
      </c>
      <c r="C255" s="27">
        <v>1</v>
      </c>
      <c r="D255" s="26">
        <f>50.1+19.8*2+46.3</f>
        <v>136</v>
      </c>
      <c r="E255" s="26">
        <v>0.2</v>
      </c>
      <c r="F255" s="26">
        <v>0.4</v>
      </c>
      <c r="G255" s="26">
        <f>D255*E255*(F255-0.1)*C255</f>
        <v>8.1600000000000019</v>
      </c>
      <c r="H255" s="26">
        <f>C255*D255*(F255-0.1)*2</f>
        <v>81.600000000000009</v>
      </c>
      <c r="I255" s="24">
        <v>1</v>
      </c>
      <c r="J255" s="14">
        <f>D255-0.05+0.3+35*0.018*10</f>
        <v>142.55000000000001</v>
      </c>
      <c r="K255" s="25">
        <v>2</v>
      </c>
      <c r="L255" s="22"/>
      <c r="M255" s="22"/>
      <c r="N255" s="22"/>
      <c r="O255" s="14">
        <f>O123*K255*J255*C255</f>
        <v>344.4008</v>
      </c>
      <c r="P255" s="14"/>
      <c r="Q255" s="26"/>
    </row>
    <row r="256" spans="1:17" s="15" customFormat="1" x14ac:dyDescent="0.2">
      <c r="A256" s="28"/>
      <c r="B256" s="44"/>
      <c r="C256" s="29"/>
      <c r="D256" s="28"/>
      <c r="E256" s="28"/>
      <c r="F256" s="28"/>
      <c r="G256" s="28"/>
      <c r="H256" s="28"/>
      <c r="I256" s="24">
        <v>2</v>
      </c>
      <c r="J256" s="14">
        <f>D255-0.8-0.05+2*0.15+35*0.018*10</f>
        <v>141.75</v>
      </c>
      <c r="K256" s="25">
        <v>2</v>
      </c>
      <c r="L256" s="22"/>
      <c r="M256" s="22"/>
      <c r="N256" s="22"/>
      <c r="O256" s="14">
        <f>O123*K256*J256*C255</f>
        <v>342.46800000000002</v>
      </c>
      <c r="P256" s="14"/>
      <c r="Q256" s="28"/>
    </row>
    <row r="257" spans="1:19" s="15" customFormat="1" x14ac:dyDescent="0.2">
      <c r="A257" s="30"/>
      <c r="B257" s="45"/>
      <c r="C257" s="31"/>
      <c r="D257" s="30"/>
      <c r="E257" s="30"/>
      <c r="F257" s="30"/>
      <c r="G257" s="30"/>
      <c r="H257" s="30"/>
      <c r="I257" s="49" t="s">
        <v>81</v>
      </c>
      <c r="J257" s="50">
        <v>0.45</v>
      </c>
      <c r="K257" s="51">
        <v>580</v>
      </c>
      <c r="L257" s="14">
        <f>L123*K257*J257*C255</f>
        <v>57.942</v>
      </c>
      <c r="M257" s="14"/>
      <c r="N257" s="30"/>
      <c r="O257" s="30"/>
      <c r="P257" s="50"/>
      <c r="Q257" s="30"/>
    </row>
    <row r="258" spans="1:19" s="15" customFormat="1" x14ac:dyDescent="0.2">
      <c r="A258" s="26">
        <v>13</v>
      </c>
      <c r="B258" s="43" t="s">
        <v>173</v>
      </c>
      <c r="C258" s="27">
        <v>1</v>
      </c>
      <c r="D258" s="16">
        <f>23.8*2+10.8+15.4+13.1+13.9+41.6+15.45</f>
        <v>157.85</v>
      </c>
      <c r="E258" s="26">
        <v>0.1</v>
      </c>
      <c r="F258" s="26">
        <v>0.4</v>
      </c>
      <c r="G258" s="26">
        <f>D258*E258*(F258-0.1)*C258</f>
        <v>4.7355000000000009</v>
      </c>
      <c r="H258" s="26">
        <f>C258*D258*(F258-0.1)*2</f>
        <v>94.710000000000008</v>
      </c>
      <c r="I258" s="24">
        <v>1</v>
      </c>
      <c r="J258" s="14">
        <f>D258-0.05+0.3+35*0.018</f>
        <v>158.72999999999999</v>
      </c>
      <c r="K258" s="25">
        <v>1</v>
      </c>
      <c r="L258" s="22"/>
      <c r="M258" s="22"/>
      <c r="N258" s="22"/>
      <c r="O258" s="14">
        <f>O123*K258*J258*C258</f>
        <v>191.74583999999999</v>
      </c>
      <c r="P258" s="14"/>
      <c r="Q258" s="26"/>
      <c r="R258" s="21"/>
      <c r="S258" s="21"/>
    </row>
    <row r="259" spans="1:19" s="15" customFormat="1" x14ac:dyDescent="0.2">
      <c r="A259" s="28"/>
      <c r="B259" s="44"/>
      <c r="C259" s="29"/>
      <c r="D259" s="28"/>
      <c r="E259" s="28"/>
      <c r="F259" s="28"/>
      <c r="G259" s="28"/>
      <c r="H259" s="28"/>
      <c r="I259" s="24">
        <v>2</v>
      </c>
      <c r="J259" s="14">
        <f>D258-0.8-0.05+2*0.15+35*0.018</f>
        <v>157.92999999999998</v>
      </c>
      <c r="K259" s="25">
        <v>1</v>
      </c>
      <c r="L259" s="22"/>
      <c r="M259" s="22"/>
      <c r="N259" s="22"/>
      <c r="O259" s="22">
        <f>O123*K259*J259*C258</f>
        <v>190.77943999999997</v>
      </c>
      <c r="P259" s="14"/>
      <c r="Q259" s="28"/>
      <c r="R259" s="21"/>
      <c r="S259" s="21"/>
    </row>
    <row r="260" spans="1:19" s="15" customFormat="1" x14ac:dyDescent="0.2">
      <c r="A260" s="30"/>
      <c r="B260" s="45"/>
      <c r="C260" s="31"/>
      <c r="D260" s="30"/>
      <c r="E260" s="30"/>
      <c r="F260" s="30"/>
      <c r="G260" s="30"/>
      <c r="H260" s="30"/>
      <c r="I260" s="49" t="s">
        <v>81</v>
      </c>
      <c r="J260" s="50">
        <v>0.45</v>
      </c>
      <c r="K260" s="51">
        <v>600</v>
      </c>
      <c r="L260" s="14">
        <f>L123*K260*J260*C258</f>
        <v>59.94</v>
      </c>
      <c r="M260" s="14"/>
      <c r="N260" s="30"/>
      <c r="O260" s="30"/>
      <c r="P260" s="50"/>
      <c r="Q260" s="30"/>
      <c r="R260" s="21"/>
      <c r="S260" s="21"/>
    </row>
    <row r="261" spans="1:19" x14ac:dyDescent="0.2">
      <c r="A261" s="16">
        <v>12</v>
      </c>
      <c r="B261" s="43" t="s">
        <v>174</v>
      </c>
      <c r="C261" s="27">
        <v>1</v>
      </c>
      <c r="D261" s="26">
        <v>53</v>
      </c>
      <c r="E261" s="26">
        <v>0.3</v>
      </c>
      <c r="F261" s="26">
        <v>0.5</v>
      </c>
      <c r="G261" s="26">
        <f>D261*E261*(F261-0.1)*C261</f>
        <v>6.3599999999999994</v>
      </c>
      <c r="H261" s="26">
        <f>C261*D261*(F261-0.1)*2</f>
        <v>42.400000000000006</v>
      </c>
      <c r="I261" s="24">
        <v>1</v>
      </c>
      <c r="J261" s="14">
        <f>(D261-0.05)+2*0.3+3*35*0.018</f>
        <v>55.440000000000005</v>
      </c>
      <c r="K261" s="25">
        <v>2</v>
      </c>
      <c r="L261" s="22"/>
      <c r="M261" s="22"/>
      <c r="N261" s="22"/>
      <c r="O261" s="22"/>
      <c r="P261" s="14">
        <f>J261*P123*C261*K261</f>
        <v>220.65120000000002</v>
      </c>
      <c r="Q261" s="22"/>
    </row>
    <row r="262" spans="1:19" x14ac:dyDescent="0.2">
      <c r="B262" s="44"/>
      <c r="C262" s="29"/>
      <c r="D262" s="28"/>
      <c r="E262" s="28"/>
      <c r="F262" s="28"/>
      <c r="G262" s="28"/>
      <c r="H262" s="28"/>
      <c r="I262" s="24">
        <v>2</v>
      </c>
      <c r="J262" s="14">
        <f>D261-0.8-0.05+2*0.15+3*35*0.018</f>
        <v>54.34</v>
      </c>
      <c r="K262" s="25">
        <v>2</v>
      </c>
      <c r="L262" s="22"/>
      <c r="M262" s="22"/>
      <c r="N262" s="22"/>
      <c r="O262" s="22"/>
      <c r="P262" s="14">
        <f>J262*P123*C261*K262</f>
        <v>216.2732</v>
      </c>
      <c r="Q262" s="22"/>
    </row>
    <row r="263" spans="1:19" x14ac:dyDescent="0.2">
      <c r="B263" s="44"/>
      <c r="C263" s="29"/>
      <c r="D263" s="28"/>
      <c r="E263" s="28"/>
      <c r="F263" s="28"/>
      <c r="G263" s="28"/>
      <c r="H263" s="28"/>
      <c r="I263" s="24" t="s">
        <v>175</v>
      </c>
      <c r="J263" s="14">
        <f>(1.65+0.65)+6*3.8+3</f>
        <v>28.099999999999998</v>
      </c>
      <c r="K263" s="25">
        <v>2</v>
      </c>
      <c r="L263" s="22"/>
      <c r="M263" s="22"/>
      <c r="N263" s="22"/>
      <c r="O263" s="22"/>
      <c r="P263" s="14">
        <f>K263*P123*J263*C261</f>
        <v>111.83799999999999</v>
      </c>
      <c r="Q263" s="22"/>
    </row>
    <row r="264" spans="1:19" x14ac:dyDescent="0.2">
      <c r="B264" s="44"/>
      <c r="C264" s="29"/>
      <c r="D264" s="28"/>
      <c r="E264" s="28"/>
      <c r="F264" s="28"/>
      <c r="G264" s="28"/>
      <c r="H264" s="28"/>
      <c r="I264" s="24">
        <v>6</v>
      </c>
      <c r="J264" s="14">
        <f>7*(7-2.5)</f>
        <v>31.5</v>
      </c>
      <c r="K264" s="25">
        <v>2</v>
      </c>
      <c r="L264" s="22"/>
      <c r="M264" s="22"/>
      <c r="N264" s="22"/>
      <c r="O264" s="22"/>
      <c r="P264" s="14">
        <f>P123*K264*J264*C261</f>
        <v>125.37</v>
      </c>
      <c r="Q264" s="22"/>
    </row>
    <row r="265" spans="1:19" s="15" customFormat="1" x14ac:dyDescent="0.2">
      <c r="A265" s="16"/>
      <c r="B265" s="44"/>
      <c r="C265" s="29"/>
      <c r="D265" s="28"/>
      <c r="E265" s="28"/>
      <c r="F265" s="28"/>
      <c r="G265" s="28"/>
      <c r="H265" s="28"/>
      <c r="I265" s="24">
        <v>7</v>
      </c>
      <c r="J265" s="14">
        <f>0.75+0.15+0.65</f>
        <v>1.55</v>
      </c>
      <c r="K265" s="25">
        <v>2</v>
      </c>
      <c r="L265" s="22"/>
      <c r="M265" s="22"/>
      <c r="N265" s="22"/>
      <c r="O265" s="22"/>
      <c r="P265" s="14">
        <f>P123*K265*J265*C261</f>
        <v>6.1690000000000005</v>
      </c>
      <c r="Q265" s="22"/>
      <c r="R265" s="21"/>
      <c r="S265" s="21"/>
    </row>
    <row r="266" spans="1:19" s="15" customFormat="1" x14ac:dyDescent="0.2">
      <c r="A266" s="16"/>
      <c r="B266" s="44"/>
      <c r="C266" s="29"/>
      <c r="D266" s="28"/>
      <c r="E266" s="28"/>
      <c r="F266" s="28"/>
      <c r="G266" s="28"/>
      <c r="H266" s="28"/>
      <c r="I266" s="24" t="s">
        <v>138</v>
      </c>
      <c r="J266" s="14">
        <v>1.26</v>
      </c>
      <c r="K266" s="25">
        <v>10</v>
      </c>
      <c r="L266" s="22"/>
      <c r="M266" s="14">
        <f>M123*K266*J266*C261</f>
        <v>4.9644000000000004</v>
      </c>
      <c r="N266" s="22"/>
      <c r="O266" s="22"/>
      <c r="P266" s="14"/>
      <c r="Q266" s="22"/>
      <c r="R266" s="21"/>
      <c r="S266" s="21"/>
    </row>
    <row r="267" spans="1:19" s="15" customFormat="1" x14ac:dyDescent="0.2">
      <c r="A267" s="39"/>
      <c r="B267" s="45"/>
      <c r="C267" s="31"/>
      <c r="D267" s="30"/>
      <c r="E267" s="30"/>
      <c r="F267" s="30"/>
      <c r="G267" s="30"/>
      <c r="H267" s="30"/>
      <c r="I267" s="24" t="s">
        <v>139</v>
      </c>
      <c r="J267" s="14">
        <v>1.46</v>
      </c>
      <c r="K267" s="25">
        <v>252</v>
      </c>
      <c r="L267" s="22"/>
      <c r="M267" s="14">
        <f>K267*J267*C261*M123</f>
        <v>144.96048000000002</v>
      </c>
      <c r="N267" s="14"/>
      <c r="O267" s="22"/>
      <c r="P267" s="14"/>
      <c r="Q267" s="22"/>
      <c r="R267" s="21"/>
      <c r="S267" s="21"/>
    </row>
    <row r="268" spans="1:19" x14ac:dyDescent="0.2">
      <c r="A268" s="26">
        <v>13</v>
      </c>
      <c r="B268" s="43" t="s">
        <v>176</v>
      </c>
      <c r="C268" s="27">
        <v>2</v>
      </c>
      <c r="D268" s="26">
        <v>14.4</v>
      </c>
      <c r="E268" s="26">
        <v>0.2</v>
      </c>
      <c r="F268" s="26">
        <v>0.4</v>
      </c>
      <c r="G268" s="26">
        <f>D268*E268*(F268-0.1)*C268</f>
        <v>1.7280000000000004</v>
      </c>
      <c r="H268" s="26">
        <f>C268*D268*(F268-0.1)*2</f>
        <v>17.280000000000005</v>
      </c>
      <c r="I268" s="24">
        <v>1</v>
      </c>
      <c r="J268" s="14">
        <f>(D268-0.05)+2*0.3+1*35*0.018</f>
        <v>15.58</v>
      </c>
      <c r="K268" s="25">
        <v>2</v>
      </c>
      <c r="L268" s="22"/>
      <c r="M268" s="22"/>
      <c r="N268" s="22"/>
      <c r="O268" s="22"/>
      <c r="P268" s="14">
        <f>J268*P123*C268*K268</f>
        <v>124.0168</v>
      </c>
      <c r="Q268" s="22"/>
    </row>
    <row r="269" spans="1:19" x14ac:dyDescent="0.2">
      <c r="A269" s="28"/>
      <c r="B269" s="44"/>
      <c r="C269" s="29"/>
      <c r="D269" s="28"/>
      <c r="E269" s="28"/>
      <c r="F269" s="28"/>
      <c r="G269" s="28"/>
      <c r="H269" s="28"/>
      <c r="I269" s="24">
        <v>2</v>
      </c>
      <c r="J269" s="14">
        <f>D268-0.05+2*0.15+1*35*0.018</f>
        <v>15.280000000000001</v>
      </c>
      <c r="K269" s="25">
        <v>2</v>
      </c>
      <c r="L269" s="22"/>
      <c r="M269" s="22"/>
      <c r="N269" s="22"/>
      <c r="O269" s="22"/>
      <c r="P269" s="14">
        <f>J269*P123*C268*K269</f>
        <v>121.62880000000001</v>
      </c>
      <c r="Q269" s="22"/>
    </row>
    <row r="270" spans="1:19" x14ac:dyDescent="0.2">
      <c r="A270" s="28"/>
      <c r="B270" s="44"/>
      <c r="C270" s="29"/>
      <c r="D270" s="28"/>
      <c r="E270" s="28"/>
      <c r="F270" s="28"/>
      <c r="G270" s="28"/>
      <c r="H270" s="28"/>
      <c r="I270" s="24">
        <v>3</v>
      </c>
      <c r="J270" s="14">
        <f>(1.65+0.65)*2+1.9+1.9</f>
        <v>8.4</v>
      </c>
      <c r="K270" s="25">
        <v>1</v>
      </c>
      <c r="L270" s="22"/>
      <c r="M270" s="22"/>
      <c r="N270" s="22"/>
      <c r="O270" s="22"/>
      <c r="P270" s="14">
        <f>K270*P123*J270*C268</f>
        <v>33.432000000000002</v>
      </c>
      <c r="Q270" s="22"/>
    </row>
    <row r="271" spans="1:19" x14ac:dyDescent="0.2">
      <c r="A271" s="28"/>
      <c r="B271" s="44"/>
      <c r="C271" s="29"/>
      <c r="D271" s="28"/>
      <c r="E271" s="28"/>
      <c r="F271" s="28"/>
      <c r="G271" s="28"/>
      <c r="H271" s="28"/>
      <c r="I271" s="24">
        <v>4</v>
      </c>
      <c r="J271" s="14">
        <v>3.8</v>
      </c>
      <c r="K271" s="25">
        <v>1</v>
      </c>
      <c r="L271" s="22"/>
      <c r="M271" s="22"/>
      <c r="N271" s="22"/>
      <c r="O271" s="22"/>
      <c r="P271" s="14">
        <f>P123*K271*J271*C268</f>
        <v>15.123999999999999</v>
      </c>
      <c r="Q271" s="22"/>
    </row>
    <row r="272" spans="1:19" x14ac:dyDescent="0.2">
      <c r="A272" s="30"/>
      <c r="B272" s="45"/>
      <c r="C272" s="31"/>
      <c r="D272" s="30"/>
      <c r="E272" s="30"/>
      <c r="F272" s="30"/>
      <c r="G272" s="30"/>
      <c r="H272" s="30"/>
      <c r="I272" s="24" t="s">
        <v>139</v>
      </c>
      <c r="J272" s="14">
        <f>2*(0.35+0.15)+0.06</f>
        <v>1.06</v>
      </c>
      <c r="K272" s="25">
        <v>60</v>
      </c>
      <c r="L272" s="22"/>
      <c r="M272" s="14">
        <f>K272*J272*C268*M123</f>
        <v>50.116800000000005</v>
      </c>
      <c r="N272" s="14"/>
      <c r="O272" s="22"/>
      <c r="P272" s="14"/>
      <c r="Q272" s="22"/>
    </row>
    <row r="273" spans="1:17" x14ac:dyDescent="0.2">
      <c r="A273" s="26">
        <v>14</v>
      </c>
      <c r="B273" s="43" t="s">
        <v>177</v>
      </c>
      <c r="C273" s="27">
        <v>2</v>
      </c>
      <c r="D273" s="26">
        <v>7.35</v>
      </c>
      <c r="E273" s="26">
        <v>0.2</v>
      </c>
      <c r="F273" s="26">
        <v>0.4</v>
      </c>
      <c r="G273" s="26">
        <f>D273*E273*(F273-0.1)*C273</f>
        <v>0.88200000000000012</v>
      </c>
      <c r="H273" s="26">
        <f>C273*D273*(F273-0.1)*2</f>
        <v>8.82</v>
      </c>
      <c r="I273" s="24">
        <v>1</v>
      </c>
      <c r="J273" s="14">
        <f>(D273-0.05)+2*0.3</f>
        <v>7.8999999999999995</v>
      </c>
      <c r="K273" s="25">
        <v>2</v>
      </c>
      <c r="L273" s="22"/>
      <c r="M273" s="22"/>
      <c r="N273" s="22"/>
      <c r="O273" s="22"/>
      <c r="P273" s="14">
        <f>J273*P123*C273*K273</f>
        <v>62.883999999999993</v>
      </c>
      <c r="Q273" s="22"/>
    </row>
    <row r="274" spans="1:17" x14ac:dyDescent="0.2">
      <c r="A274" s="28"/>
      <c r="B274" s="44"/>
      <c r="C274" s="29"/>
      <c r="D274" s="28"/>
      <c r="E274" s="28"/>
      <c r="F274" s="28"/>
      <c r="G274" s="28"/>
      <c r="H274" s="28"/>
      <c r="I274" s="24">
        <v>2</v>
      </c>
      <c r="J274" s="14">
        <f>D273-0.05+2*0.15</f>
        <v>7.6</v>
      </c>
      <c r="K274" s="25">
        <v>2</v>
      </c>
      <c r="L274" s="22"/>
      <c r="M274" s="22"/>
      <c r="N274" s="22"/>
      <c r="O274" s="22"/>
      <c r="P274" s="14">
        <f>J274*P123*C273*K274</f>
        <v>60.495999999999995</v>
      </c>
      <c r="Q274" s="22"/>
    </row>
    <row r="275" spans="1:17" x14ac:dyDescent="0.2">
      <c r="A275" s="28"/>
      <c r="B275" s="44"/>
      <c r="C275" s="29"/>
      <c r="D275" s="28"/>
      <c r="E275" s="28"/>
      <c r="F275" s="28"/>
      <c r="G275" s="28"/>
      <c r="H275" s="28"/>
      <c r="I275" s="24" t="s">
        <v>164</v>
      </c>
      <c r="J275" s="14">
        <f>(1.65+0.65+0.5)*2</f>
        <v>5.6</v>
      </c>
      <c r="K275" s="25">
        <v>2</v>
      </c>
      <c r="L275" s="22"/>
      <c r="M275" s="22"/>
      <c r="N275" s="22"/>
      <c r="O275" s="22"/>
      <c r="P275" s="14">
        <f>K275*P123*J275*C273</f>
        <v>44.576000000000001</v>
      </c>
      <c r="Q275" s="22"/>
    </row>
    <row r="276" spans="1:17" x14ac:dyDescent="0.2">
      <c r="A276" s="28"/>
      <c r="B276" s="44"/>
      <c r="C276" s="29"/>
      <c r="D276" s="28"/>
      <c r="E276" s="28"/>
      <c r="F276" s="28"/>
      <c r="G276" s="28"/>
      <c r="H276" s="28"/>
      <c r="I276" s="24" t="s">
        <v>150</v>
      </c>
      <c r="J276" s="14">
        <f>(1.6+0.65)*2</f>
        <v>4.5</v>
      </c>
      <c r="K276" s="25">
        <v>2</v>
      </c>
      <c r="L276" s="22"/>
      <c r="M276" s="22"/>
      <c r="N276" s="22"/>
      <c r="O276" s="22"/>
      <c r="P276" s="14"/>
      <c r="Q276" s="22">
        <f>Q123*K276*J276*C273</f>
        <v>53.694000000000003</v>
      </c>
    </row>
    <row r="277" spans="1:17" x14ac:dyDescent="0.2">
      <c r="A277" s="28"/>
      <c r="B277" s="44"/>
      <c r="C277" s="29"/>
      <c r="D277" s="28"/>
      <c r="E277" s="28"/>
      <c r="F277" s="28"/>
      <c r="G277" s="28"/>
      <c r="H277" s="28"/>
      <c r="I277" s="24">
        <v>4</v>
      </c>
      <c r="J277" s="14">
        <v>3.8</v>
      </c>
      <c r="K277" s="25">
        <v>1</v>
      </c>
      <c r="L277" s="22"/>
      <c r="M277" s="22"/>
      <c r="N277" s="22"/>
      <c r="O277" s="22"/>
      <c r="P277" s="14">
        <f>P123*K277*J277*C273</f>
        <v>15.123999999999999</v>
      </c>
      <c r="Q277" s="22"/>
    </row>
    <row r="278" spans="1:17" x14ac:dyDescent="0.2">
      <c r="A278" s="28"/>
      <c r="B278" s="44"/>
      <c r="C278" s="29"/>
      <c r="D278" s="28"/>
      <c r="E278" s="28"/>
      <c r="F278" s="28"/>
      <c r="G278" s="28"/>
      <c r="H278" s="28"/>
      <c r="I278" s="24">
        <v>7</v>
      </c>
      <c r="J278" s="14">
        <f>7-1.5</f>
        <v>5.5</v>
      </c>
      <c r="K278" s="25">
        <v>1</v>
      </c>
      <c r="L278" s="22"/>
      <c r="M278" s="22"/>
      <c r="N278" s="22"/>
      <c r="O278" s="22"/>
      <c r="P278" s="14">
        <f>P123*K278*J278*C273</f>
        <v>21.89</v>
      </c>
      <c r="Q278" s="22"/>
    </row>
    <row r="279" spans="1:17" x14ac:dyDescent="0.2">
      <c r="A279" s="28"/>
      <c r="B279" s="44"/>
      <c r="C279" s="29"/>
      <c r="D279" s="28"/>
      <c r="E279" s="28"/>
      <c r="F279" s="28"/>
      <c r="G279" s="28"/>
      <c r="H279" s="28"/>
      <c r="I279" s="24">
        <v>8</v>
      </c>
      <c r="J279" s="14">
        <f>7-2.5</f>
        <v>4.5</v>
      </c>
      <c r="K279" s="25">
        <v>2</v>
      </c>
      <c r="L279" s="22"/>
      <c r="M279" s="22"/>
      <c r="N279" s="22"/>
      <c r="O279" s="22"/>
      <c r="P279" s="14">
        <f>P123*K279*J279*C273</f>
        <v>35.82</v>
      </c>
      <c r="Q279" s="22"/>
    </row>
    <row r="280" spans="1:17" x14ac:dyDescent="0.2">
      <c r="A280" s="30"/>
      <c r="B280" s="45"/>
      <c r="C280" s="31"/>
      <c r="D280" s="30"/>
      <c r="E280" s="30"/>
      <c r="F280" s="30"/>
      <c r="G280" s="30"/>
      <c r="H280" s="30"/>
      <c r="I280" s="24" t="s">
        <v>139</v>
      </c>
      <c r="J280" s="14">
        <f>2*(0.55+0.25)+0.06</f>
        <v>1.6600000000000001</v>
      </c>
      <c r="K280" s="25">
        <v>37</v>
      </c>
      <c r="L280" s="22"/>
      <c r="M280" s="14">
        <f>K280*J280*C273*M123</f>
        <v>48.398960000000002</v>
      </c>
      <c r="N280" s="14"/>
      <c r="O280" s="22"/>
      <c r="P280" s="14"/>
      <c r="Q280" s="22"/>
    </row>
    <row r="281" spans="1:17" x14ac:dyDescent="0.2">
      <c r="A281" s="26">
        <v>15</v>
      </c>
      <c r="B281" s="43" t="s">
        <v>178</v>
      </c>
      <c r="C281" s="27">
        <v>2</v>
      </c>
      <c r="D281" s="26">
        <v>19.8</v>
      </c>
      <c r="E281" s="26">
        <v>0.2</v>
      </c>
      <c r="F281" s="26">
        <v>0.4</v>
      </c>
      <c r="G281" s="26">
        <f>D281*E281*(F281-0.1)*C281</f>
        <v>2.3760000000000008</v>
      </c>
      <c r="H281" s="26">
        <f>C281*D281*(F281-0.1)*2</f>
        <v>23.760000000000005</v>
      </c>
      <c r="I281" s="24">
        <v>1</v>
      </c>
      <c r="J281" s="14">
        <f>(D281-0.05)+2*0.3+0.018*35</f>
        <v>20.98</v>
      </c>
      <c r="K281" s="25">
        <v>2</v>
      </c>
      <c r="L281" s="22"/>
      <c r="M281" s="22"/>
      <c r="N281" s="22"/>
      <c r="O281" s="22"/>
      <c r="P281" s="14">
        <f>J281*P123*C281*K281</f>
        <v>167.0008</v>
      </c>
      <c r="Q281" s="22"/>
    </row>
    <row r="282" spans="1:17" x14ac:dyDescent="0.2">
      <c r="A282" s="28"/>
      <c r="B282" s="44"/>
      <c r="C282" s="29"/>
      <c r="D282" s="28"/>
      <c r="E282" s="28"/>
      <c r="F282" s="28"/>
      <c r="G282" s="28"/>
      <c r="H282" s="28"/>
      <c r="I282" s="24">
        <v>2</v>
      </c>
      <c r="J282" s="14">
        <f>D281-0.05+2*0.15+0.018*35*1</f>
        <v>20.68</v>
      </c>
      <c r="K282" s="25">
        <v>2</v>
      </c>
      <c r="L282" s="22"/>
      <c r="M282" s="22"/>
      <c r="N282" s="22"/>
      <c r="O282" s="22"/>
      <c r="P282" s="14">
        <f>J282*P123*C281*K282</f>
        <v>164.61279999999999</v>
      </c>
      <c r="Q282" s="22"/>
    </row>
    <row r="283" spans="1:17" x14ac:dyDescent="0.2">
      <c r="A283" s="28"/>
      <c r="B283" s="44"/>
      <c r="C283" s="29"/>
      <c r="D283" s="28"/>
      <c r="E283" s="28"/>
      <c r="F283" s="28"/>
      <c r="G283" s="28"/>
      <c r="H283" s="28"/>
      <c r="I283" s="24" t="s">
        <v>164</v>
      </c>
      <c r="J283" s="14">
        <f>(1.6+0.65)*2+3.4*2</f>
        <v>11.3</v>
      </c>
      <c r="K283" s="25">
        <v>2</v>
      </c>
      <c r="L283" s="22"/>
      <c r="M283" s="22"/>
      <c r="N283" s="22"/>
      <c r="O283" s="22"/>
      <c r="P283" s="14">
        <f>K283*P123*J283*C281</f>
        <v>89.948000000000008</v>
      </c>
      <c r="Q283" s="22"/>
    </row>
    <row r="284" spans="1:17" ht="11.25" customHeight="1" x14ac:dyDescent="0.2">
      <c r="A284" s="28"/>
      <c r="B284" s="44"/>
      <c r="C284" s="29"/>
      <c r="D284" s="28"/>
      <c r="E284" s="28"/>
      <c r="F284" s="28"/>
      <c r="G284" s="28"/>
      <c r="H284" s="28"/>
      <c r="I284" s="24" t="s">
        <v>150</v>
      </c>
      <c r="J284" s="14">
        <f>3.8*3</f>
        <v>11.399999999999999</v>
      </c>
      <c r="K284" s="25">
        <v>2</v>
      </c>
      <c r="L284" s="22"/>
      <c r="M284" s="22"/>
      <c r="N284" s="22"/>
      <c r="O284" s="22"/>
      <c r="P284" s="14">
        <f>P123*K284*J284*C281</f>
        <v>90.743999999999986</v>
      </c>
      <c r="Q284" s="22"/>
    </row>
    <row r="285" spans="1:17" x14ac:dyDescent="0.2">
      <c r="A285" s="30"/>
      <c r="B285" s="45"/>
      <c r="C285" s="31"/>
      <c r="D285" s="30"/>
      <c r="E285" s="30"/>
      <c r="F285" s="30"/>
      <c r="G285" s="30"/>
      <c r="H285" s="30"/>
      <c r="I285" s="24" t="s">
        <v>139</v>
      </c>
      <c r="J285" s="14">
        <f>2*(0.35+0.15)+0.06</f>
        <v>1.06</v>
      </c>
      <c r="K285" s="25">
        <v>118</v>
      </c>
      <c r="L285" s="22"/>
      <c r="M285" s="14">
        <f>K285*J285*C281*M123</f>
        <v>98.563040000000015</v>
      </c>
      <c r="N285" s="14"/>
      <c r="O285" s="22"/>
      <c r="P285" s="14"/>
      <c r="Q285" s="22"/>
    </row>
    <row r="286" spans="1:17" x14ac:dyDescent="0.2">
      <c r="A286" s="26">
        <v>16</v>
      </c>
      <c r="B286" s="43" t="s">
        <v>179</v>
      </c>
      <c r="C286" s="27">
        <v>2</v>
      </c>
      <c r="D286" s="26">
        <v>10.050000000000001</v>
      </c>
      <c r="E286" s="26">
        <v>0.2</v>
      </c>
      <c r="F286" s="26">
        <v>0.4</v>
      </c>
      <c r="G286" s="26">
        <f>D286*E286*(F286-0.1)*C286</f>
        <v>1.2060000000000004</v>
      </c>
      <c r="H286" s="26">
        <f>C286*D286*(F286-0.1)*2</f>
        <v>12.060000000000002</v>
      </c>
      <c r="I286" s="24">
        <v>1</v>
      </c>
      <c r="J286" s="14">
        <f>(D286-0.05)+2*0.3</f>
        <v>10.6</v>
      </c>
      <c r="K286" s="25">
        <v>2</v>
      </c>
      <c r="L286" s="22"/>
      <c r="M286" s="22"/>
      <c r="N286" s="22"/>
      <c r="O286" s="22"/>
      <c r="P286" s="14">
        <f>J286*P123*C286*K286</f>
        <v>84.375999999999991</v>
      </c>
      <c r="Q286" s="22"/>
    </row>
    <row r="287" spans="1:17" x14ac:dyDescent="0.2">
      <c r="A287" s="28"/>
      <c r="B287" s="44"/>
      <c r="C287" s="29"/>
      <c r="D287" s="28"/>
      <c r="E287" s="28"/>
      <c r="F287" s="28"/>
      <c r="G287" s="28"/>
      <c r="H287" s="28"/>
      <c r="I287" s="24">
        <v>2</v>
      </c>
      <c r="J287" s="14">
        <f>D286-0.05+2*0.15</f>
        <v>10.3</v>
      </c>
      <c r="K287" s="25">
        <v>2</v>
      </c>
      <c r="L287" s="22"/>
      <c r="M287" s="22"/>
      <c r="N287" s="22"/>
      <c r="O287" s="22"/>
      <c r="P287" s="14">
        <f>J287*P123*C286*K287</f>
        <v>81.988</v>
      </c>
      <c r="Q287" s="22"/>
    </row>
    <row r="288" spans="1:17" x14ac:dyDescent="0.2">
      <c r="A288" s="28"/>
      <c r="B288" s="44"/>
      <c r="C288" s="29"/>
      <c r="D288" s="28"/>
      <c r="E288" s="28"/>
      <c r="F288" s="28"/>
      <c r="G288" s="28"/>
      <c r="H288" s="28"/>
      <c r="I288" s="24" t="s">
        <v>164</v>
      </c>
      <c r="J288" s="14">
        <f>(1.6+0.65)*2+3.4</f>
        <v>7.9</v>
      </c>
      <c r="K288" s="25">
        <v>2</v>
      </c>
      <c r="L288" s="22"/>
      <c r="M288" s="22"/>
      <c r="N288" s="22"/>
      <c r="O288" s="22"/>
      <c r="P288" s="14">
        <f>K288*P123*J288*C286</f>
        <v>62.884</v>
      </c>
      <c r="Q288" s="22"/>
    </row>
    <row r="289" spans="1:17" x14ac:dyDescent="0.2">
      <c r="A289" s="28"/>
      <c r="B289" s="44"/>
      <c r="C289" s="29"/>
      <c r="D289" s="28"/>
      <c r="E289" s="28"/>
      <c r="F289" s="28"/>
      <c r="G289" s="28"/>
      <c r="H289" s="28"/>
      <c r="I289" s="24" t="s">
        <v>150</v>
      </c>
      <c r="J289" s="14">
        <f>3.8*2</f>
        <v>7.6</v>
      </c>
      <c r="K289" s="25">
        <v>2</v>
      </c>
      <c r="L289" s="22"/>
      <c r="M289" s="22"/>
      <c r="N289" s="22"/>
      <c r="O289" s="22"/>
      <c r="P289" s="14">
        <f>P123*K289*J289*C286</f>
        <v>60.495999999999995</v>
      </c>
      <c r="Q289" s="22"/>
    </row>
    <row r="290" spans="1:17" x14ac:dyDescent="0.2">
      <c r="A290" s="30"/>
      <c r="B290" s="45"/>
      <c r="C290" s="31"/>
      <c r="D290" s="30"/>
      <c r="E290" s="30"/>
      <c r="F290" s="30"/>
      <c r="G290" s="30"/>
      <c r="H290" s="30"/>
      <c r="I290" s="24" t="s">
        <v>139</v>
      </c>
      <c r="J290" s="14">
        <f>2*(0.35+0.15)+0.06</f>
        <v>1.06</v>
      </c>
      <c r="K290" s="25">
        <v>82</v>
      </c>
      <c r="L290" s="22"/>
      <c r="M290" s="14">
        <f>K290*J290*C286*M123</f>
        <v>68.492960000000011</v>
      </c>
      <c r="N290" s="14"/>
      <c r="O290" s="22"/>
      <c r="P290" s="14"/>
      <c r="Q290" s="22"/>
    </row>
    <row r="291" spans="1:17" x14ac:dyDescent="0.2">
      <c r="A291" s="26">
        <v>17</v>
      </c>
      <c r="B291" s="43" t="s">
        <v>180</v>
      </c>
      <c r="C291" s="27">
        <v>2</v>
      </c>
      <c r="D291" s="26">
        <v>6.85</v>
      </c>
      <c r="E291" s="26">
        <v>0.2</v>
      </c>
      <c r="F291" s="26">
        <v>0.4</v>
      </c>
      <c r="G291" s="26">
        <f>D291*E291*(F291-0.1)*C291</f>
        <v>0.82200000000000017</v>
      </c>
      <c r="H291" s="26">
        <f>C291*D291*(F291-0.1)*2</f>
        <v>8.2200000000000006</v>
      </c>
      <c r="I291" s="24">
        <v>1</v>
      </c>
      <c r="J291" s="14">
        <f>(D291-0.05)+2*0.3</f>
        <v>7.3999999999999995</v>
      </c>
      <c r="K291" s="25">
        <v>2</v>
      </c>
      <c r="L291" s="22"/>
      <c r="M291" s="22"/>
      <c r="N291" s="22"/>
      <c r="O291" s="22"/>
      <c r="P291" s="14">
        <f>J291*P123*C291*K291</f>
        <v>58.903999999999996</v>
      </c>
      <c r="Q291" s="22"/>
    </row>
    <row r="292" spans="1:17" x14ac:dyDescent="0.2">
      <c r="A292" s="28"/>
      <c r="B292" s="44"/>
      <c r="C292" s="29"/>
      <c r="D292" s="28"/>
      <c r="E292" s="28"/>
      <c r="F292" s="28"/>
      <c r="G292" s="28"/>
      <c r="H292" s="28"/>
      <c r="I292" s="24">
        <v>2</v>
      </c>
      <c r="J292" s="14">
        <f>D291-0.05+2*0.15</f>
        <v>7.1</v>
      </c>
      <c r="K292" s="25">
        <v>2</v>
      </c>
      <c r="L292" s="22"/>
      <c r="M292" s="22"/>
      <c r="N292" s="22"/>
      <c r="O292" s="22"/>
      <c r="P292" s="14">
        <f>J292*P123*C291*K292</f>
        <v>56.515999999999998</v>
      </c>
      <c r="Q292" s="22"/>
    </row>
    <row r="293" spans="1:17" x14ac:dyDescent="0.2">
      <c r="A293" s="28"/>
      <c r="B293" s="44"/>
      <c r="C293" s="29"/>
      <c r="D293" s="28"/>
      <c r="E293" s="28"/>
      <c r="F293" s="28"/>
      <c r="G293" s="28"/>
      <c r="H293" s="28"/>
      <c r="I293" s="24" t="s">
        <v>164</v>
      </c>
      <c r="J293" s="14">
        <f>(1.6+0.65)*2</f>
        <v>4.5</v>
      </c>
      <c r="K293" s="25">
        <v>2</v>
      </c>
      <c r="L293" s="22"/>
      <c r="M293" s="22"/>
      <c r="N293" s="22"/>
      <c r="O293" s="22"/>
      <c r="P293" s="14">
        <f>K293*P123*J293*C291</f>
        <v>35.82</v>
      </c>
      <c r="Q293" s="22"/>
    </row>
    <row r="294" spans="1:17" x14ac:dyDescent="0.2">
      <c r="A294" s="28"/>
      <c r="B294" s="44"/>
      <c r="C294" s="29"/>
      <c r="D294" s="28"/>
      <c r="E294" s="28"/>
      <c r="F294" s="28"/>
      <c r="G294" s="28"/>
      <c r="H294" s="28"/>
      <c r="I294" s="24" t="s">
        <v>150</v>
      </c>
      <c r="J294" s="14">
        <f>3.8</f>
        <v>3.8</v>
      </c>
      <c r="K294" s="25">
        <v>2</v>
      </c>
      <c r="L294" s="22"/>
      <c r="M294" s="22"/>
      <c r="N294" s="22"/>
      <c r="O294" s="22"/>
      <c r="P294" s="14">
        <f>P123*K294*J294*C291</f>
        <v>30.247999999999998</v>
      </c>
      <c r="Q294" s="22"/>
    </row>
    <row r="295" spans="1:17" x14ac:dyDescent="0.2">
      <c r="A295" s="30"/>
      <c r="B295" s="45"/>
      <c r="C295" s="31"/>
      <c r="D295" s="30"/>
      <c r="E295" s="30"/>
      <c r="F295" s="30"/>
      <c r="G295" s="30"/>
      <c r="H295" s="30"/>
      <c r="I295" s="24" t="s">
        <v>139</v>
      </c>
      <c r="J295" s="14">
        <f>2*(0.35+0.15)+0.06</f>
        <v>1.06</v>
      </c>
      <c r="K295" s="25">
        <v>46</v>
      </c>
      <c r="L295" s="22"/>
      <c r="M295" s="14">
        <f>K295*J295*C291*M123</f>
        <v>38.422880000000006</v>
      </c>
      <c r="N295" s="14"/>
      <c r="O295" s="22"/>
      <c r="P295" s="14"/>
      <c r="Q295" s="22"/>
    </row>
    <row r="296" spans="1:17" x14ac:dyDescent="0.2">
      <c r="A296" s="28">
        <v>18</v>
      </c>
      <c r="B296" s="43" t="s">
        <v>181</v>
      </c>
      <c r="C296" s="27">
        <v>2</v>
      </c>
      <c r="D296" s="26">
        <v>8.5</v>
      </c>
      <c r="E296" s="26">
        <v>0.2</v>
      </c>
      <c r="F296" s="26">
        <v>0.4</v>
      </c>
      <c r="G296" s="26">
        <f>8.75*0.3*0.2+3.6*0.65*0.2+2.9*0.3*0.2</f>
        <v>1.167</v>
      </c>
      <c r="H296" s="26">
        <f>8.75*0.3*2+3.6*0.65*2+2.9*0.3*2</f>
        <v>11.67</v>
      </c>
      <c r="I296" s="24">
        <v>1</v>
      </c>
      <c r="J296" s="14">
        <f>D296-0.05+0.65+0.3+D298+0.65+0.3</f>
        <v>13.250000000000002</v>
      </c>
      <c r="K296" s="25">
        <v>2</v>
      </c>
      <c r="L296" s="22"/>
      <c r="M296" s="22"/>
      <c r="N296" s="22"/>
      <c r="O296" s="22"/>
      <c r="P296" s="14">
        <f>J296*P123*C296*K296</f>
        <v>105.47000000000001</v>
      </c>
      <c r="Q296" s="22"/>
    </row>
    <row r="297" spans="1:17" x14ac:dyDescent="0.2">
      <c r="A297" s="28"/>
      <c r="B297" s="44"/>
      <c r="C297" s="29"/>
      <c r="D297" s="28">
        <v>3.6</v>
      </c>
      <c r="E297" s="28"/>
      <c r="F297" s="28">
        <v>0.75</v>
      </c>
      <c r="G297" s="28"/>
      <c r="H297" s="28"/>
      <c r="I297" s="24" t="s">
        <v>182</v>
      </c>
      <c r="J297" s="14">
        <f>D297-0.05+0.6</f>
        <v>4.1500000000000004</v>
      </c>
      <c r="K297" s="25">
        <v>2</v>
      </c>
      <c r="L297" s="22"/>
      <c r="M297" s="22"/>
      <c r="N297" s="22"/>
      <c r="O297" s="22"/>
      <c r="P297" s="14">
        <f>J297*P123*C296*K297</f>
        <v>33.034000000000006</v>
      </c>
      <c r="Q297" s="22"/>
    </row>
    <row r="298" spans="1:17" x14ac:dyDescent="0.2">
      <c r="A298" s="28"/>
      <c r="B298" s="44"/>
      <c r="C298" s="29"/>
      <c r="D298" s="28">
        <v>2.9</v>
      </c>
      <c r="E298" s="28"/>
      <c r="F298" s="28">
        <v>0.4</v>
      </c>
      <c r="G298" s="28"/>
      <c r="H298" s="28"/>
      <c r="I298" s="24">
        <v>2</v>
      </c>
      <c r="J298" s="14">
        <f>D296+D297+D298-0.05+0.3</f>
        <v>15.25</v>
      </c>
      <c r="K298" s="25">
        <v>2</v>
      </c>
      <c r="L298" s="22"/>
      <c r="M298" s="22"/>
      <c r="N298" s="22"/>
      <c r="O298" s="22"/>
      <c r="P298" s="14">
        <f>J298*P123*C296*K298</f>
        <v>121.39</v>
      </c>
      <c r="Q298" s="22"/>
    </row>
    <row r="299" spans="1:17" x14ac:dyDescent="0.2">
      <c r="A299" s="28"/>
      <c r="B299" s="44"/>
      <c r="C299" s="29"/>
      <c r="D299" s="52"/>
      <c r="E299" s="52"/>
      <c r="F299" s="52"/>
      <c r="G299" s="21"/>
      <c r="H299" s="28"/>
      <c r="I299" s="24" t="s">
        <v>164</v>
      </c>
      <c r="J299" s="14">
        <f>(1.65+0.65)*2+3.4</f>
        <v>8</v>
      </c>
      <c r="K299" s="25">
        <v>2</v>
      </c>
      <c r="L299" s="22"/>
      <c r="M299" s="22"/>
      <c r="N299" s="22"/>
      <c r="O299" s="22"/>
      <c r="P299" s="14">
        <f>K299*P123*J299*C296</f>
        <v>63.68</v>
      </c>
      <c r="Q299" s="22"/>
    </row>
    <row r="300" spans="1:17" x14ac:dyDescent="0.2">
      <c r="A300" s="28"/>
      <c r="B300" s="44"/>
      <c r="C300" s="29"/>
      <c r="D300" s="28"/>
      <c r="E300" s="28"/>
      <c r="F300" s="28"/>
      <c r="G300" s="28"/>
      <c r="H300" s="28"/>
      <c r="I300" s="24">
        <v>4</v>
      </c>
      <c r="J300" s="14">
        <f>3.8*2</f>
        <v>7.6</v>
      </c>
      <c r="K300" s="25">
        <v>2</v>
      </c>
      <c r="L300" s="22"/>
      <c r="M300" s="22"/>
      <c r="N300" s="22"/>
      <c r="O300" s="22"/>
      <c r="P300" s="14">
        <f>K300*P123*J300*C296</f>
        <v>60.495999999999995</v>
      </c>
      <c r="Q300" s="22"/>
    </row>
    <row r="301" spans="1:17" x14ac:dyDescent="0.2">
      <c r="A301" s="28"/>
      <c r="B301" s="44"/>
      <c r="C301" s="29"/>
      <c r="D301" s="28"/>
      <c r="E301" s="28"/>
      <c r="F301" s="28"/>
      <c r="G301" s="28"/>
      <c r="H301" s="28"/>
      <c r="I301" s="24">
        <v>6</v>
      </c>
      <c r="J301" s="14">
        <f>D297-0.05+0.6</f>
        <v>4.1500000000000004</v>
      </c>
      <c r="K301" s="25">
        <v>2</v>
      </c>
      <c r="L301" s="22"/>
      <c r="M301" s="22"/>
      <c r="N301" s="22"/>
      <c r="O301" s="14">
        <f>O123*K301*J301*C296</f>
        <v>20.052800000000001</v>
      </c>
      <c r="P301" s="14"/>
      <c r="Q301" s="22"/>
    </row>
    <row r="302" spans="1:17" x14ac:dyDescent="0.2">
      <c r="A302" s="28"/>
      <c r="B302" s="44"/>
      <c r="C302" s="29"/>
      <c r="D302" s="28"/>
      <c r="E302" s="28"/>
      <c r="F302" s="28"/>
      <c r="G302" s="28"/>
      <c r="H302" s="28"/>
      <c r="I302" s="24" t="s">
        <v>146</v>
      </c>
      <c r="J302" s="14">
        <f>2*(0.35+0.15)+0.06</f>
        <v>1.06</v>
      </c>
      <c r="K302" s="25">
        <v>10</v>
      </c>
      <c r="L302" s="22"/>
      <c r="M302" s="14">
        <f>K302*J302*C296*M123</f>
        <v>8.352800000000002</v>
      </c>
      <c r="N302" s="22"/>
      <c r="O302" s="22"/>
      <c r="P302" s="14"/>
      <c r="Q302" s="22"/>
    </row>
    <row r="303" spans="1:17" x14ac:dyDescent="0.2">
      <c r="A303" s="30"/>
      <c r="B303" s="45"/>
      <c r="C303" s="31"/>
      <c r="D303" s="30"/>
      <c r="E303" s="30"/>
      <c r="F303" s="30"/>
      <c r="G303" s="30"/>
      <c r="H303" s="30"/>
      <c r="I303" s="24" t="s">
        <v>139</v>
      </c>
      <c r="J303" s="14">
        <f>2*(0.7+0.15)+0.06</f>
        <v>1.76</v>
      </c>
      <c r="K303" s="25">
        <v>75</v>
      </c>
      <c r="L303" s="22"/>
      <c r="M303" s="14">
        <f>K303*J303*C296*M123</f>
        <v>104.01600000000001</v>
      </c>
      <c r="N303" s="14"/>
      <c r="O303" s="22"/>
      <c r="P303" s="14"/>
      <c r="Q303" s="22"/>
    </row>
    <row r="304" spans="1:17" x14ac:dyDescent="0.2">
      <c r="A304" s="28">
        <v>19</v>
      </c>
      <c r="B304" s="43" t="s">
        <v>183</v>
      </c>
      <c r="C304" s="27">
        <v>2</v>
      </c>
      <c r="D304" s="26">
        <v>22</v>
      </c>
      <c r="E304" s="26">
        <v>0.2</v>
      </c>
      <c r="F304" s="26">
        <v>0.4</v>
      </c>
      <c r="G304" s="26">
        <f>D304*E304*(F304-0.1)*C304</f>
        <v>2.6400000000000006</v>
      </c>
      <c r="H304" s="26">
        <f>C304*D304*(F304-0.1)*2</f>
        <v>26.400000000000006</v>
      </c>
      <c r="I304" s="24">
        <v>1</v>
      </c>
      <c r="J304" s="14">
        <f>(D304-0.05)+2*0.3+0.018*35*1</f>
        <v>23.18</v>
      </c>
      <c r="K304" s="25">
        <v>2</v>
      </c>
      <c r="L304" s="22"/>
      <c r="M304" s="22"/>
      <c r="N304" s="22"/>
      <c r="O304" s="22"/>
      <c r="P304" s="14">
        <f>J304*P123*C304*K304</f>
        <v>184.5128</v>
      </c>
      <c r="Q304" s="22"/>
    </row>
    <row r="305" spans="1:17" x14ac:dyDescent="0.2">
      <c r="A305" s="28"/>
      <c r="B305" s="44"/>
      <c r="C305" s="29"/>
      <c r="D305" s="28"/>
      <c r="E305" s="28"/>
      <c r="F305" s="28"/>
      <c r="G305" s="28"/>
      <c r="H305" s="28"/>
      <c r="I305" s="24">
        <v>2</v>
      </c>
      <c r="J305" s="14">
        <f>D304-0.05+2*0.15+0.018*35*1</f>
        <v>22.88</v>
      </c>
      <c r="K305" s="25">
        <v>2</v>
      </c>
      <c r="L305" s="22"/>
      <c r="M305" s="22"/>
      <c r="N305" s="22"/>
      <c r="O305" s="22"/>
      <c r="P305" s="14">
        <f>J305*P123*C304*K305</f>
        <v>182.12479999999999</v>
      </c>
      <c r="Q305" s="22"/>
    </row>
    <row r="306" spans="1:17" x14ac:dyDescent="0.2">
      <c r="A306" s="28"/>
      <c r="B306" s="44"/>
      <c r="C306" s="29"/>
      <c r="D306" s="28"/>
      <c r="E306" s="28"/>
      <c r="F306" s="28"/>
      <c r="G306" s="28"/>
      <c r="H306" s="28"/>
      <c r="I306" s="24" t="s">
        <v>157</v>
      </c>
      <c r="J306" s="14">
        <f>(1.65+0.65)*2+2*(3.4)</f>
        <v>11.399999999999999</v>
      </c>
      <c r="K306" s="25">
        <v>2</v>
      </c>
      <c r="L306" s="22"/>
      <c r="M306" s="22"/>
      <c r="N306" s="22"/>
      <c r="O306" s="22"/>
      <c r="P306" s="14">
        <f>K306*P123*J306*C304</f>
        <v>90.743999999999986</v>
      </c>
      <c r="Q306" s="22"/>
    </row>
    <row r="307" spans="1:17" x14ac:dyDescent="0.2">
      <c r="A307" s="28"/>
      <c r="B307" s="44"/>
      <c r="C307" s="29"/>
      <c r="D307" s="28"/>
      <c r="E307" s="28"/>
      <c r="F307" s="28"/>
      <c r="G307" s="28"/>
      <c r="H307" s="28"/>
      <c r="I307" s="24">
        <v>4</v>
      </c>
      <c r="J307" s="14">
        <f>3*3.8</f>
        <v>11.399999999999999</v>
      </c>
      <c r="K307" s="25">
        <v>2</v>
      </c>
      <c r="L307" s="22"/>
      <c r="M307" s="22"/>
      <c r="N307" s="22"/>
      <c r="O307" s="22"/>
      <c r="P307" s="14">
        <f>K307*P123*J307*C304</f>
        <v>90.743999999999986</v>
      </c>
      <c r="Q307" s="22"/>
    </row>
    <row r="308" spans="1:17" x14ac:dyDescent="0.2">
      <c r="A308" s="30"/>
      <c r="B308" s="45"/>
      <c r="C308" s="31"/>
      <c r="D308" s="30"/>
      <c r="E308" s="30"/>
      <c r="F308" s="30"/>
      <c r="G308" s="30"/>
      <c r="H308" s="30"/>
      <c r="I308" s="24" t="s">
        <v>139</v>
      </c>
      <c r="J308" s="14">
        <f>2*(0.35+0.15)+0.06</f>
        <v>1.06</v>
      </c>
      <c r="K308" s="25">
        <v>118</v>
      </c>
      <c r="L308" s="22"/>
      <c r="M308" s="14">
        <f>K308*J308*C304*M123</f>
        <v>98.563040000000015</v>
      </c>
      <c r="N308" s="14"/>
      <c r="O308" s="22"/>
      <c r="P308" s="14"/>
      <c r="Q308" s="22"/>
    </row>
    <row r="309" spans="1:17" x14ac:dyDescent="0.2">
      <c r="A309" s="28">
        <v>20</v>
      </c>
      <c r="B309" s="43" t="s">
        <v>184</v>
      </c>
      <c r="C309" s="27">
        <v>1</v>
      </c>
      <c r="D309" s="26">
        <v>60.9</v>
      </c>
      <c r="E309" s="26">
        <v>0.2</v>
      </c>
      <c r="F309" s="26">
        <v>0.4</v>
      </c>
      <c r="G309" s="26">
        <f>D309*E309*(F309-0.1)*C309</f>
        <v>3.6540000000000004</v>
      </c>
      <c r="H309" s="26">
        <f>C309*D309*(F309-0.1)*2</f>
        <v>36.540000000000006</v>
      </c>
      <c r="I309" s="24">
        <v>1</v>
      </c>
      <c r="J309" s="14">
        <f>(D309-0.05)+2*0.3+0.018*35*4</f>
        <v>63.970000000000006</v>
      </c>
      <c r="K309" s="25">
        <v>2</v>
      </c>
      <c r="L309" s="22"/>
      <c r="M309" s="22"/>
      <c r="N309" s="22"/>
      <c r="O309" s="22"/>
      <c r="P309" s="14">
        <f>J309*P123*C309*K309</f>
        <v>254.60060000000001</v>
      </c>
      <c r="Q309" s="22"/>
    </row>
    <row r="310" spans="1:17" x14ac:dyDescent="0.2">
      <c r="A310" s="28"/>
      <c r="B310" s="44"/>
      <c r="C310" s="29"/>
      <c r="D310" s="28"/>
      <c r="E310" s="28"/>
      <c r="F310" s="28"/>
      <c r="G310" s="28"/>
      <c r="H310" s="28"/>
      <c r="I310" s="24">
        <v>2</v>
      </c>
      <c r="J310" s="14">
        <f>D309-0.05+2*0.15+0.018*35*4</f>
        <v>63.67</v>
      </c>
      <c r="K310" s="25">
        <v>2</v>
      </c>
      <c r="L310" s="22"/>
      <c r="M310" s="22"/>
      <c r="N310" s="22"/>
      <c r="O310" s="22"/>
      <c r="P310" s="14">
        <f>J310*P123*C309*K310</f>
        <v>253.4066</v>
      </c>
      <c r="Q310" s="22"/>
    </row>
    <row r="311" spans="1:17" x14ac:dyDescent="0.2">
      <c r="A311" s="28"/>
      <c r="B311" s="44"/>
      <c r="C311" s="29"/>
      <c r="D311" s="28"/>
      <c r="E311" s="28"/>
      <c r="F311" s="28"/>
      <c r="G311" s="28"/>
      <c r="H311" s="28"/>
      <c r="I311" s="24" t="s">
        <v>164</v>
      </c>
      <c r="J311" s="14">
        <f>(1.65+0.65)*2+4*(3.4)+2*3.6+2*3.8</f>
        <v>33</v>
      </c>
      <c r="K311" s="25">
        <v>2</v>
      </c>
      <c r="L311" s="22"/>
      <c r="M311" s="22"/>
      <c r="N311" s="22"/>
      <c r="O311" s="22"/>
      <c r="P311" s="14">
        <f>K311*P123*J311*C309</f>
        <v>131.34</v>
      </c>
      <c r="Q311" s="22"/>
    </row>
    <row r="312" spans="1:17" x14ac:dyDescent="0.2">
      <c r="A312" s="28"/>
      <c r="B312" s="44"/>
      <c r="C312" s="29"/>
      <c r="D312" s="28"/>
      <c r="E312" s="28"/>
      <c r="F312" s="28"/>
      <c r="G312" s="28"/>
      <c r="H312" s="28"/>
      <c r="I312" s="24">
        <v>4</v>
      </c>
      <c r="J312" s="14">
        <f>6*3.8+3*4.5</f>
        <v>36.299999999999997</v>
      </c>
      <c r="K312" s="25">
        <v>2</v>
      </c>
      <c r="L312" s="22"/>
      <c r="M312" s="22"/>
      <c r="N312" s="22"/>
      <c r="O312" s="22"/>
      <c r="P312" s="14">
        <f>K312*P123*J312*C309</f>
        <v>144.47399999999999</v>
      </c>
      <c r="Q312" s="22"/>
    </row>
    <row r="313" spans="1:17" x14ac:dyDescent="0.2">
      <c r="A313" s="30"/>
      <c r="B313" s="45"/>
      <c r="C313" s="31"/>
      <c r="D313" s="30"/>
      <c r="E313" s="30"/>
      <c r="F313" s="30"/>
      <c r="G313" s="30"/>
      <c r="H313" s="30"/>
      <c r="I313" s="24" t="s">
        <v>139</v>
      </c>
      <c r="J313" s="14">
        <f>2*(0.35+0.15)+0.06</f>
        <v>1.06</v>
      </c>
      <c r="K313" s="25">
        <v>300</v>
      </c>
      <c r="L313" s="22"/>
      <c r="M313" s="14">
        <f>K313*J313*C309*M123</f>
        <v>125.292</v>
      </c>
      <c r="N313" s="14"/>
      <c r="O313" s="22"/>
      <c r="P313" s="14"/>
      <c r="Q313" s="22"/>
    </row>
    <row r="314" spans="1:17" x14ac:dyDescent="0.2">
      <c r="A314" s="28">
        <v>21</v>
      </c>
      <c r="B314" s="43" t="s">
        <v>185</v>
      </c>
      <c r="C314" s="27">
        <v>1</v>
      </c>
      <c r="D314" s="26">
        <v>51.2</v>
      </c>
      <c r="E314" s="26">
        <v>0.2</v>
      </c>
      <c r="F314" s="26">
        <v>0.4</v>
      </c>
      <c r="G314" s="26">
        <f>D314*E314*(F314-0.1)*C314</f>
        <v>3.072000000000001</v>
      </c>
      <c r="H314" s="26">
        <f>C314*D314*(F314-0.1)*2</f>
        <v>30.720000000000006</v>
      </c>
      <c r="I314" s="24">
        <v>1</v>
      </c>
      <c r="J314" s="14">
        <f>(D314-0.05)+2*0.3+0.018*35*3</f>
        <v>53.640000000000008</v>
      </c>
      <c r="K314" s="25">
        <v>2</v>
      </c>
      <c r="L314" s="22"/>
      <c r="M314" s="22"/>
      <c r="N314" s="22"/>
      <c r="O314" s="22"/>
      <c r="P314" s="14">
        <f>J314*P123*C314*K314</f>
        <v>213.48720000000003</v>
      </c>
      <c r="Q314" s="22"/>
    </row>
    <row r="315" spans="1:17" x14ac:dyDescent="0.2">
      <c r="A315" s="28"/>
      <c r="B315" s="44"/>
      <c r="C315" s="29"/>
      <c r="D315" s="28"/>
      <c r="E315" s="28"/>
      <c r="F315" s="28"/>
      <c r="G315" s="28"/>
      <c r="H315" s="28"/>
      <c r="I315" s="24">
        <v>2</v>
      </c>
      <c r="J315" s="14">
        <f>D314-0.05+2*0.15+0.018*35*3</f>
        <v>53.34</v>
      </c>
      <c r="K315" s="25">
        <v>2</v>
      </c>
      <c r="L315" s="22"/>
      <c r="M315" s="22"/>
      <c r="N315" s="22"/>
      <c r="O315" s="22"/>
      <c r="P315" s="14">
        <f>J315*P123*C314*K315</f>
        <v>212.29320000000001</v>
      </c>
      <c r="Q315" s="22"/>
    </row>
    <row r="316" spans="1:17" x14ac:dyDescent="0.2">
      <c r="A316" s="28"/>
      <c r="B316" s="44"/>
      <c r="C316" s="29"/>
      <c r="D316" s="28"/>
      <c r="E316" s="28"/>
      <c r="F316" s="28"/>
      <c r="G316" s="28"/>
      <c r="H316" s="28"/>
      <c r="I316" s="24" t="s">
        <v>164</v>
      </c>
      <c r="J316" s="14">
        <f>(1.65+0.65)*2+3*(3.4)+2*3.6+2*3.8</f>
        <v>29.6</v>
      </c>
      <c r="K316" s="25">
        <v>2</v>
      </c>
      <c r="L316" s="22"/>
      <c r="M316" s="22"/>
      <c r="N316" s="22"/>
      <c r="O316" s="22"/>
      <c r="P316" s="14">
        <f>K316*P123*J316*C314</f>
        <v>117.80800000000001</v>
      </c>
      <c r="Q316" s="22"/>
    </row>
    <row r="317" spans="1:17" x14ac:dyDescent="0.2">
      <c r="A317" s="28"/>
      <c r="B317" s="44"/>
      <c r="C317" s="29"/>
      <c r="D317" s="28"/>
      <c r="E317" s="28"/>
      <c r="F317" s="28"/>
      <c r="G317" s="28"/>
      <c r="H317" s="28"/>
      <c r="I317" s="24">
        <v>4</v>
      </c>
      <c r="J317" s="14">
        <f>5*3.8+3*4.5</f>
        <v>32.5</v>
      </c>
      <c r="K317" s="25">
        <v>2</v>
      </c>
      <c r="L317" s="22"/>
      <c r="M317" s="22"/>
      <c r="N317" s="22"/>
      <c r="O317" s="22"/>
      <c r="P317" s="14">
        <f>K317*P123*J317*C314</f>
        <v>129.35</v>
      </c>
      <c r="Q317" s="22"/>
    </row>
    <row r="318" spans="1:17" x14ac:dyDescent="0.2">
      <c r="A318" s="30"/>
      <c r="B318" s="45"/>
      <c r="C318" s="31"/>
      <c r="D318" s="30"/>
      <c r="E318" s="30"/>
      <c r="F318" s="30"/>
      <c r="G318" s="30"/>
      <c r="H318" s="30"/>
      <c r="I318" s="24" t="s">
        <v>139</v>
      </c>
      <c r="J318" s="14">
        <f>2*(0.35+0.15)+0.06</f>
        <v>1.06</v>
      </c>
      <c r="K318" s="25">
        <v>258</v>
      </c>
      <c r="L318" s="22"/>
      <c r="M318" s="14">
        <f>K318*J318*C314*M123</f>
        <v>107.75112000000001</v>
      </c>
      <c r="N318" s="14"/>
      <c r="O318" s="22"/>
      <c r="P318" s="14"/>
      <c r="Q318" s="22"/>
    </row>
    <row r="319" spans="1:17" x14ac:dyDescent="0.2">
      <c r="A319" s="28">
        <v>22</v>
      </c>
      <c r="B319" s="43" t="s">
        <v>186</v>
      </c>
      <c r="C319" s="27">
        <v>1</v>
      </c>
      <c r="D319" s="26">
        <v>46.8</v>
      </c>
      <c r="E319" s="26">
        <v>0.2</v>
      </c>
      <c r="F319" s="26">
        <v>0.4</v>
      </c>
      <c r="G319" s="26">
        <f>D319*E319*(F319-0.1)*C319</f>
        <v>2.8080000000000003</v>
      </c>
      <c r="H319" s="26">
        <f>C319*D319*(F319-0.1)*2</f>
        <v>28.080000000000002</v>
      </c>
      <c r="I319" s="24">
        <v>1</v>
      </c>
      <c r="J319" s="14">
        <f>(D319-0.05)+2*0.3+0.018*35*3</f>
        <v>49.24</v>
      </c>
      <c r="K319" s="25">
        <v>2</v>
      </c>
      <c r="L319" s="22"/>
      <c r="M319" s="22"/>
      <c r="N319" s="22"/>
      <c r="O319" s="22"/>
      <c r="P319" s="14">
        <f>J319*P123*C319*K319</f>
        <v>195.9752</v>
      </c>
      <c r="Q319" s="22"/>
    </row>
    <row r="320" spans="1:17" x14ac:dyDescent="0.2">
      <c r="A320" s="28"/>
      <c r="B320" s="44"/>
      <c r="C320" s="29"/>
      <c r="D320" s="28"/>
      <c r="E320" s="28"/>
      <c r="F320" s="28"/>
      <c r="G320" s="28"/>
      <c r="H320" s="28"/>
      <c r="I320" s="24">
        <v>2</v>
      </c>
      <c r="J320" s="14">
        <f>D319-0.05+2*0.15+0.018*35*3</f>
        <v>48.94</v>
      </c>
      <c r="K320" s="25">
        <v>2</v>
      </c>
      <c r="L320" s="22"/>
      <c r="M320" s="22"/>
      <c r="N320" s="22"/>
      <c r="O320" s="22"/>
      <c r="P320" s="14">
        <f>J320*P123*C319*K320</f>
        <v>194.78119999999998</v>
      </c>
      <c r="Q320" s="22"/>
    </row>
    <row r="321" spans="1:17" x14ac:dyDescent="0.2">
      <c r="A321" s="28"/>
      <c r="B321" s="44"/>
      <c r="C321" s="29"/>
      <c r="D321" s="28"/>
      <c r="E321" s="28"/>
      <c r="F321" s="28"/>
      <c r="G321" s="28"/>
      <c r="H321" s="28"/>
      <c r="I321" s="24" t="s">
        <v>164</v>
      </c>
      <c r="J321" s="14">
        <f>(1.65+0.65)*2+2*(3.4)+2*(3.6)+3.8*2</f>
        <v>26.199999999999996</v>
      </c>
      <c r="K321" s="25">
        <v>2</v>
      </c>
      <c r="L321" s="22"/>
      <c r="M321" s="22"/>
      <c r="N321" s="22"/>
      <c r="O321" s="22"/>
      <c r="P321" s="14">
        <f>K321*P123*J321*C319</f>
        <v>104.27599999999998</v>
      </c>
      <c r="Q321" s="22"/>
    </row>
    <row r="322" spans="1:17" x14ac:dyDescent="0.2">
      <c r="A322" s="28"/>
      <c r="B322" s="44"/>
      <c r="C322" s="29"/>
      <c r="D322" s="28"/>
      <c r="E322" s="28"/>
      <c r="F322" s="28"/>
      <c r="G322" s="28"/>
      <c r="H322" s="28"/>
      <c r="I322" s="24">
        <v>4</v>
      </c>
      <c r="J322" s="14">
        <f>4*3.8+3*4.5</f>
        <v>28.7</v>
      </c>
      <c r="K322" s="25">
        <v>2</v>
      </c>
      <c r="L322" s="22"/>
      <c r="M322" s="22"/>
      <c r="N322" s="22"/>
      <c r="O322" s="22"/>
      <c r="P322" s="14">
        <f>K322*P123*J322*C319</f>
        <v>114.226</v>
      </c>
      <c r="Q322" s="22"/>
    </row>
    <row r="323" spans="1:17" x14ac:dyDescent="0.2">
      <c r="A323" s="30"/>
      <c r="B323" s="45"/>
      <c r="C323" s="31"/>
      <c r="D323" s="30"/>
      <c r="E323" s="30"/>
      <c r="F323" s="30"/>
      <c r="G323" s="30"/>
      <c r="H323" s="30"/>
      <c r="I323" s="24" t="s">
        <v>139</v>
      </c>
      <c r="J323" s="14">
        <f>2*(0.35+0.15)+0.06</f>
        <v>1.06</v>
      </c>
      <c r="K323" s="25">
        <v>268</v>
      </c>
      <c r="L323" s="22"/>
      <c r="M323" s="14">
        <f>K323*J323*C319*M123</f>
        <v>111.92752000000002</v>
      </c>
      <c r="N323" s="14"/>
      <c r="O323" s="22"/>
      <c r="P323" s="14"/>
      <c r="Q323" s="22"/>
    </row>
    <row r="324" spans="1:17" x14ac:dyDescent="0.2">
      <c r="A324" s="28">
        <v>22</v>
      </c>
      <c r="B324" s="43" t="s">
        <v>187</v>
      </c>
      <c r="C324" s="27">
        <v>1</v>
      </c>
      <c r="D324" s="26">
        <v>46.8</v>
      </c>
      <c r="E324" s="26">
        <v>0.2</v>
      </c>
      <c r="F324" s="26">
        <v>0.4</v>
      </c>
      <c r="G324" s="26">
        <f>D324*E324*(F324-0.1)*C324</f>
        <v>2.8080000000000003</v>
      </c>
      <c r="H324" s="26">
        <f>C324*D324*(F324-0.1)*2</f>
        <v>28.080000000000002</v>
      </c>
      <c r="I324" s="24">
        <v>1</v>
      </c>
      <c r="J324" s="14">
        <f>(D324-0.05)+2*0.3+0.018*35*3</f>
        <v>49.24</v>
      </c>
      <c r="K324" s="25">
        <v>2</v>
      </c>
      <c r="L324" s="22"/>
      <c r="M324" s="22"/>
      <c r="N324" s="22"/>
      <c r="O324" s="22"/>
      <c r="P324" s="14">
        <f>J324*P123*C324*K324</f>
        <v>195.9752</v>
      </c>
      <c r="Q324" s="22"/>
    </row>
    <row r="325" spans="1:17" x14ac:dyDescent="0.2">
      <c r="A325" s="28"/>
      <c r="B325" s="44"/>
      <c r="C325" s="29"/>
      <c r="D325" s="28"/>
      <c r="E325" s="28"/>
      <c r="F325" s="28"/>
      <c r="G325" s="28"/>
      <c r="H325" s="28"/>
      <c r="I325" s="24">
        <v>2</v>
      </c>
      <c r="J325" s="14">
        <f>D324-0.05+2*0.15+0.018*35*3</f>
        <v>48.94</v>
      </c>
      <c r="K325" s="25">
        <v>2</v>
      </c>
      <c r="L325" s="22"/>
      <c r="M325" s="22"/>
      <c r="N325" s="22"/>
      <c r="O325" s="22"/>
      <c r="P325" s="14">
        <f>J325*P123*C324*K325</f>
        <v>194.78119999999998</v>
      </c>
      <c r="Q325" s="22"/>
    </row>
    <row r="326" spans="1:17" x14ac:dyDescent="0.2">
      <c r="A326" s="28"/>
      <c r="B326" s="44"/>
      <c r="C326" s="29"/>
      <c r="D326" s="28"/>
      <c r="E326" s="28"/>
      <c r="F326" s="28"/>
      <c r="G326" s="28"/>
      <c r="H326" s="28"/>
      <c r="I326" s="24" t="s">
        <v>164</v>
      </c>
      <c r="J326" s="14">
        <f>(1.65+0.65)*2+1*(3.4)+2*(3.6)+3.8*2</f>
        <v>22.799999999999997</v>
      </c>
      <c r="K326" s="25">
        <v>2</v>
      </c>
      <c r="L326" s="22"/>
      <c r="M326" s="22"/>
      <c r="N326" s="22"/>
      <c r="O326" s="22"/>
      <c r="P326" s="14">
        <f>K326*P123*J326*C324</f>
        <v>90.743999999999986</v>
      </c>
      <c r="Q326" s="22"/>
    </row>
    <row r="327" spans="1:17" x14ac:dyDescent="0.2">
      <c r="A327" s="28"/>
      <c r="B327" s="44"/>
      <c r="C327" s="29"/>
      <c r="D327" s="28"/>
      <c r="E327" s="28"/>
      <c r="F327" s="28"/>
      <c r="G327" s="28"/>
      <c r="H327" s="28"/>
      <c r="I327" s="24">
        <v>4</v>
      </c>
      <c r="J327" s="14">
        <f>3*3.8+3*4.5</f>
        <v>24.9</v>
      </c>
      <c r="K327" s="25">
        <v>2</v>
      </c>
      <c r="L327" s="22"/>
      <c r="M327" s="22"/>
      <c r="N327" s="22"/>
      <c r="O327" s="22"/>
      <c r="P327" s="14">
        <f>K327*P123*J327*C324</f>
        <v>99.10199999999999</v>
      </c>
      <c r="Q327" s="22"/>
    </row>
    <row r="328" spans="1:17" x14ac:dyDescent="0.2">
      <c r="A328" s="30"/>
      <c r="B328" s="45"/>
      <c r="C328" s="31"/>
      <c r="D328" s="30"/>
      <c r="E328" s="30"/>
      <c r="F328" s="30"/>
      <c r="G328" s="30"/>
      <c r="H328" s="30"/>
      <c r="I328" s="24" t="s">
        <v>139</v>
      </c>
      <c r="J328" s="14">
        <f>2*(0.35+0.15)+0.06</f>
        <v>1.06</v>
      </c>
      <c r="K328" s="25">
        <v>238</v>
      </c>
      <c r="L328" s="22"/>
      <c r="M328" s="14">
        <f>K328*J328*C324*M123</f>
        <v>99.398319999999998</v>
      </c>
      <c r="N328" s="14"/>
      <c r="O328" s="22"/>
      <c r="P328" s="14"/>
      <c r="Q328" s="22"/>
    </row>
    <row r="329" spans="1:17" x14ac:dyDescent="0.2">
      <c r="A329" s="28">
        <v>22</v>
      </c>
      <c r="B329" s="43" t="s">
        <v>188</v>
      </c>
      <c r="C329" s="27">
        <v>2</v>
      </c>
      <c r="D329" s="26">
        <v>5</v>
      </c>
      <c r="E329" s="26">
        <v>0.2</v>
      </c>
      <c r="F329" s="26">
        <v>0.75</v>
      </c>
      <c r="G329" s="26">
        <f>C329*D329*E329*(F329-0.1)+C329*D330*E329*(F330-0.1)</f>
        <v>1.8580000000000001</v>
      </c>
      <c r="H329" s="26">
        <f>C329*2*D329*(F329-0.1)+D329*2*C329*(F330-0.1)</f>
        <v>19</v>
      </c>
      <c r="I329" s="24">
        <v>1</v>
      </c>
      <c r="J329" s="14">
        <f>D329-0.05+0.3+0.3+D330-0.05+0.3+0.65</f>
        <v>11.1</v>
      </c>
      <c r="K329" s="25">
        <v>2</v>
      </c>
      <c r="L329" s="22"/>
      <c r="M329" s="22"/>
      <c r="N329" s="22"/>
      <c r="O329" s="22"/>
      <c r="P329" s="14">
        <f>J329*P123*C329*K329</f>
        <v>88.355999999999995</v>
      </c>
      <c r="Q329" s="22"/>
    </row>
    <row r="330" spans="1:17" x14ac:dyDescent="0.2">
      <c r="A330" s="28"/>
      <c r="B330" s="44"/>
      <c r="C330" s="29"/>
      <c r="D330" s="28">
        <v>4.6500000000000004</v>
      </c>
      <c r="E330" s="28"/>
      <c r="F330" s="28">
        <v>0.4</v>
      </c>
      <c r="G330" s="28"/>
      <c r="H330" s="28"/>
      <c r="I330" s="24">
        <v>2</v>
      </c>
      <c r="J330" s="14">
        <f>(D329+D330)-0.05+0.6</f>
        <v>10.199999999999999</v>
      </c>
      <c r="K330" s="25">
        <v>2</v>
      </c>
      <c r="L330" s="22"/>
      <c r="M330" s="22"/>
      <c r="N330" s="22"/>
      <c r="O330" s="22"/>
      <c r="P330" s="14">
        <f>J330*P123*C329*K330</f>
        <v>81.191999999999993</v>
      </c>
      <c r="Q330" s="22"/>
    </row>
    <row r="331" spans="1:17" x14ac:dyDescent="0.2">
      <c r="A331" s="28"/>
      <c r="B331" s="44"/>
      <c r="C331" s="29"/>
      <c r="D331" s="28"/>
      <c r="E331" s="28"/>
      <c r="F331" s="28"/>
      <c r="G331" s="28"/>
      <c r="H331" s="28"/>
      <c r="I331" s="24">
        <v>3</v>
      </c>
      <c r="J331" s="14">
        <f>2*(1.3+0.35)</f>
        <v>3.3</v>
      </c>
      <c r="K331" s="25">
        <v>2</v>
      </c>
      <c r="L331" s="22"/>
      <c r="M331" s="22"/>
      <c r="N331" s="22"/>
      <c r="O331" s="22"/>
      <c r="P331" s="14">
        <f>K331*P123*J331*C329</f>
        <v>26.267999999999997</v>
      </c>
      <c r="Q331" s="22"/>
    </row>
    <row r="332" spans="1:17" x14ac:dyDescent="0.2">
      <c r="A332" s="28"/>
      <c r="B332" s="44"/>
      <c r="C332" s="29"/>
      <c r="D332" s="28"/>
      <c r="E332" s="28"/>
      <c r="F332" s="28"/>
      <c r="G332" s="28"/>
      <c r="H332" s="28"/>
      <c r="I332" s="24">
        <v>5</v>
      </c>
      <c r="J332" s="14">
        <f>0.15+D329-0.05+0.65</f>
        <v>5.7500000000000009</v>
      </c>
      <c r="K332" s="25">
        <v>2</v>
      </c>
      <c r="L332" s="22"/>
      <c r="M332" s="22"/>
      <c r="N332" s="22"/>
      <c r="O332" s="22">
        <f>O123*K332*J332*C329</f>
        <v>27.784000000000002</v>
      </c>
      <c r="P332" s="14"/>
      <c r="Q332" s="22"/>
    </row>
    <row r="333" spans="1:17" x14ac:dyDescent="0.2">
      <c r="A333" s="28"/>
      <c r="B333" s="44"/>
      <c r="C333" s="29"/>
      <c r="D333" s="28"/>
      <c r="E333" s="28"/>
      <c r="F333" s="28"/>
      <c r="G333" s="28"/>
      <c r="H333" s="28"/>
      <c r="I333" s="24">
        <v>4</v>
      </c>
      <c r="J333" s="14">
        <f>4.3-0.7-0.7</f>
        <v>2.8999999999999995</v>
      </c>
      <c r="K333" s="25">
        <v>2</v>
      </c>
      <c r="L333" s="22"/>
      <c r="M333" s="22"/>
      <c r="N333" s="22"/>
      <c r="O333" s="22"/>
      <c r="P333" s="14">
        <f>K333*P123*J333*C329</f>
        <v>23.083999999999996</v>
      </c>
      <c r="Q333" s="22"/>
    </row>
    <row r="334" spans="1:17" x14ac:dyDescent="0.2">
      <c r="A334" s="28"/>
      <c r="B334" s="44"/>
      <c r="C334" s="29"/>
      <c r="D334" s="28"/>
      <c r="E334" s="28"/>
      <c r="F334" s="28"/>
      <c r="G334" s="28"/>
      <c r="H334" s="28"/>
      <c r="I334" s="24" t="s">
        <v>138</v>
      </c>
      <c r="J334" s="14">
        <f>(0.7+0.15)*2+0.06</f>
        <v>1.76</v>
      </c>
      <c r="K334" s="25">
        <v>25</v>
      </c>
      <c r="L334" s="22"/>
      <c r="M334" s="14">
        <f>K334*J334*C329*M123</f>
        <v>34.672000000000004</v>
      </c>
      <c r="N334" s="22"/>
      <c r="O334" s="22"/>
      <c r="P334" s="14"/>
      <c r="Q334" s="22"/>
    </row>
    <row r="335" spans="1:17" x14ac:dyDescent="0.2">
      <c r="A335" s="30"/>
      <c r="B335" s="45"/>
      <c r="C335" s="31"/>
      <c r="D335" s="30"/>
      <c r="E335" s="30"/>
      <c r="F335" s="30"/>
      <c r="G335" s="30"/>
      <c r="H335" s="30"/>
      <c r="I335" s="24" t="s">
        <v>139</v>
      </c>
      <c r="J335" s="14">
        <f>2*(0.35+0.15)+0.06</f>
        <v>1.06</v>
      </c>
      <c r="K335" s="25">
        <v>23</v>
      </c>
      <c r="L335" s="22"/>
      <c r="M335" s="14">
        <f>K335*J335*C329*M123</f>
        <v>19.211440000000003</v>
      </c>
      <c r="N335" s="14"/>
      <c r="O335" s="22"/>
      <c r="P335" s="14"/>
      <c r="Q335" s="22"/>
    </row>
    <row r="336" spans="1:17" s="15" customFormat="1" x14ac:dyDescent="0.2">
      <c r="A336" s="120">
        <v>23</v>
      </c>
      <c r="B336" s="116" t="s">
        <v>189</v>
      </c>
      <c r="C336" s="117">
        <v>1</v>
      </c>
      <c r="D336" s="115">
        <v>6.15</v>
      </c>
      <c r="E336" s="115">
        <v>0.15</v>
      </c>
      <c r="F336" s="115">
        <v>0.4</v>
      </c>
      <c r="G336" s="115">
        <f>D336*E336*(F336-0.1)*C336</f>
        <v>0.27675000000000005</v>
      </c>
      <c r="H336" s="115">
        <f>C336*D336*(F336-0.1)*2</f>
        <v>3.6900000000000008</v>
      </c>
      <c r="I336" s="118">
        <v>1</v>
      </c>
      <c r="J336" s="81">
        <f>(D336-0.05)+2*0.3</f>
        <v>6.7</v>
      </c>
      <c r="K336" s="119">
        <v>2</v>
      </c>
      <c r="L336" s="80"/>
      <c r="M336" s="80"/>
      <c r="N336" s="80"/>
      <c r="O336" s="80"/>
      <c r="P336" s="81">
        <f>J336*P123*C336*K336</f>
        <v>26.666</v>
      </c>
      <c r="Q336" s="80"/>
    </row>
    <row r="337" spans="1:17" s="15" customFormat="1" x14ac:dyDescent="0.2">
      <c r="A337" s="120"/>
      <c r="B337" s="121"/>
      <c r="C337" s="122"/>
      <c r="D337" s="120"/>
      <c r="E337" s="120"/>
      <c r="F337" s="120"/>
      <c r="G337" s="120"/>
      <c r="H337" s="120"/>
      <c r="I337" s="118">
        <v>2</v>
      </c>
      <c r="J337" s="81">
        <f>D336-0.05+2*0.15</f>
        <v>6.4</v>
      </c>
      <c r="K337" s="119">
        <v>2</v>
      </c>
      <c r="L337" s="80"/>
      <c r="M337" s="80"/>
      <c r="N337" s="80"/>
      <c r="O337" s="80"/>
      <c r="P337" s="81">
        <f>J337*P123*C336*K337</f>
        <v>25.472000000000001</v>
      </c>
      <c r="Q337" s="80"/>
    </row>
    <row r="338" spans="1:17" s="15" customFormat="1" x14ac:dyDescent="0.2">
      <c r="A338" s="123"/>
      <c r="B338" s="124"/>
      <c r="C338" s="125"/>
      <c r="D338" s="123"/>
      <c r="E338" s="123"/>
      <c r="F338" s="123"/>
      <c r="G338" s="123"/>
      <c r="H338" s="123"/>
      <c r="I338" s="118" t="s">
        <v>139</v>
      </c>
      <c r="J338" s="81">
        <f>2*(0.35+0.15)+0.06</f>
        <v>1.06</v>
      </c>
      <c r="K338" s="119">
        <v>29</v>
      </c>
      <c r="L338" s="80"/>
      <c r="M338" s="81">
        <f>K338*J338*C336*M123</f>
        <v>12.111560000000001</v>
      </c>
      <c r="N338" s="81"/>
      <c r="O338" s="80"/>
      <c r="P338" s="81"/>
      <c r="Q338" s="80"/>
    </row>
    <row r="339" spans="1:17" s="15" customFormat="1" x14ac:dyDescent="0.2">
      <c r="A339" s="120">
        <v>25</v>
      </c>
      <c r="B339" s="116" t="s">
        <v>190</v>
      </c>
      <c r="C339" s="117">
        <v>1</v>
      </c>
      <c r="D339" s="115">
        <v>7.2</v>
      </c>
      <c r="E339" s="115">
        <v>0.2</v>
      </c>
      <c r="F339" s="115">
        <v>0.4</v>
      </c>
      <c r="G339" s="115">
        <f>C339*D339*E339*(F339-0.1)</f>
        <v>0.43200000000000011</v>
      </c>
      <c r="H339" s="115">
        <f>C339*D339*2*(F339-0.1)</f>
        <v>4.3200000000000012</v>
      </c>
      <c r="I339" s="118">
        <v>1</v>
      </c>
      <c r="J339" s="81">
        <f>D339-0.05+0.6</f>
        <v>7.75</v>
      </c>
      <c r="K339" s="119">
        <v>2</v>
      </c>
      <c r="L339" s="80"/>
      <c r="M339" s="80"/>
      <c r="N339" s="80"/>
      <c r="O339" s="80"/>
      <c r="P339" s="81">
        <f>J339*P123*C339*K339</f>
        <v>30.844999999999999</v>
      </c>
      <c r="Q339" s="80"/>
    </row>
    <row r="340" spans="1:17" s="15" customFormat="1" x14ac:dyDescent="0.2">
      <c r="A340" s="120"/>
      <c r="B340" s="121"/>
      <c r="C340" s="122"/>
      <c r="D340" s="120"/>
      <c r="E340" s="120"/>
      <c r="F340" s="120"/>
      <c r="G340" s="120"/>
      <c r="H340" s="120"/>
      <c r="I340" s="118">
        <v>2</v>
      </c>
      <c r="J340" s="81">
        <f>D339-0.05+0.3</f>
        <v>7.45</v>
      </c>
      <c r="K340" s="119">
        <v>2</v>
      </c>
      <c r="L340" s="80"/>
      <c r="M340" s="80"/>
      <c r="N340" s="80"/>
      <c r="O340" s="80"/>
      <c r="P340" s="81">
        <f>J340*P123*C339*K340</f>
        <v>29.651</v>
      </c>
      <c r="Q340" s="80"/>
    </row>
    <row r="341" spans="1:17" s="15" customFormat="1" x14ac:dyDescent="0.2">
      <c r="A341" s="120"/>
      <c r="B341" s="121"/>
      <c r="C341" s="122"/>
      <c r="D341" s="120"/>
      <c r="E341" s="120"/>
      <c r="F341" s="120"/>
      <c r="G341" s="120"/>
      <c r="H341" s="120"/>
      <c r="I341" s="118">
        <v>3</v>
      </c>
      <c r="J341" s="81">
        <f>(1.6+0.65)*2</f>
        <v>4.5</v>
      </c>
      <c r="K341" s="119">
        <v>2</v>
      </c>
      <c r="L341" s="80"/>
      <c r="M341" s="80"/>
      <c r="N341" s="80"/>
      <c r="O341" s="80"/>
      <c r="P341" s="81">
        <f>J341*P123*C339*K341</f>
        <v>17.91</v>
      </c>
      <c r="Q341" s="80"/>
    </row>
    <row r="342" spans="1:17" s="15" customFormat="1" x14ac:dyDescent="0.2">
      <c r="A342" s="120"/>
      <c r="B342" s="121"/>
      <c r="C342" s="122"/>
      <c r="D342" s="120"/>
      <c r="E342" s="120"/>
      <c r="F342" s="120"/>
      <c r="G342" s="120"/>
      <c r="H342" s="120"/>
      <c r="I342" s="118">
        <v>4</v>
      </c>
      <c r="J342" s="81">
        <f>7-2.5</f>
        <v>4.5</v>
      </c>
      <c r="K342" s="119">
        <v>2</v>
      </c>
      <c r="L342" s="80"/>
      <c r="M342" s="80"/>
      <c r="N342" s="80"/>
      <c r="O342" s="80"/>
      <c r="P342" s="81">
        <f>J342*P123*C339*K342</f>
        <v>17.91</v>
      </c>
      <c r="Q342" s="80"/>
    </row>
    <row r="343" spans="1:17" s="15" customFormat="1" x14ac:dyDescent="0.2">
      <c r="A343" s="123"/>
      <c r="B343" s="124"/>
      <c r="C343" s="125"/>
      <c r="D343" s="123"/>
      <c r="E343" s="123"/>
      <c r="F343" s="123"/>
      <c r="G343" s="123"/>
      <c r="H343" s="123"/>
      <c r="I343" s="118" t="s">
        <v>139</v>
      </c>
      <c r="J343" s="81">
        <f>2*(0.35+0.15)+0.06</f>
        <v>1.06</v>
      </c>
      <c r="K343" s="119">
        <v>36</v>
      </c>
      <c r="L343" s="80"/>
      <c r="M343" s="81">
        <f>K343*J343*C339*M123</f>
        <v>15.035040000000002</v>
      </c>
      <c r="N343" s="81"/>
      <c r="O343" s="80"/>
      <c r="P343" s="81"/>
      <c r="Q343" s="80"/>
    </row>
    <row r="344" spans="1:17" ht="15" customHeight="1" x14ac:dyDescent="0.2">
      <c r="A344" s="142" t="s">
        <v>191</v>
      </c>
      <c r="B344" s="142"/>
      <c r="C344" s="142"/>
      <c r="D344" s="142"/>
      <c r="E344" s="142"/>
      <c r="F344" s="22"/>
      <c r="G344" s="22">
        <f>SUM(G124:G343)</f>
        <v>182.42724999999999</v>
      </c>
      <c r="H344" s="22">
        <f>SUM(H124:H343)</f>
        <v>1394.6100000000001</v>
      </c>
      <c r="I344" s="24"/>
      <c r="J344" s="14"/>
      <c r="K344" s="25"/>
      <c r="L344" s="22">
        <f>SUM(L126:L343)</f>
        <v>117.88200000000001</v>
      </c>
      <c r="M344" s="22">
        <f>SUM(M124:M343)</f>
        <v>4586.6958400000012</v>
      </c>
      <c r="N344" s="22"/>
      <c r="O344" s="22">
        <f>SUM(O128:O343)</f>
        <v>1117.2308800000001</v>
      </c>
      <c r="P344" s="14">
        <f>SUM(P124:P343)</f>
        <v>24426.147539999994</v>
      </c>
      <c r="Q344" s="22">
        <f>SUM(Q125:Q343)</f>
        <v>1750.3050800000003</v>
      </c>
    </row>
    <row r="345" spans="1:17" ht="15" customHeight="1" x14ac:dyDescent="0.2">
      <c r="A345" s="71"/>
      <c r="B345" s="71"/>
      <c r="C345" s="71"/>
      <c r="D345" s="71"/>
      <c r="E345" s="71"/>
    </row>
    <row r="346" spans="1:17" ht="15" customHeight="1" x14ac:dyDescent="0.2">
      <c r="A346" s="71"/>
      <c r="B346" s="71"/>
      <c r="C346" s="71"/>
      <c r="D346" s="71"/>
      <c r="E346" s="71"/>
    </row>
    <row r="347" spans="1:17" ht="35.25" customHeight="1" x14ac:dyDescent="0.4">
      <c r="A347" s="162" t="s">
        <v>255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4"/>
    </row>
    <row r="349" spans="1:17" x14ac:dyDescent="0.2">
      <c r="A349" s="22"/>
      <c r="B349" s="11" t="s">
        <v>193</v>
      </c>
      <c r="C349" s="23"/>
      <c r="D349" s="141" t="s">
        <v>136</v>
      </c>
      <c r="E349" s="141"/>
      <c r="F349" s="141"/>
      <c r="G349" s="141"/>
      <c r="H349" s="154"/>
      <c r="I349" s="141" t="s">
        <v>135</v>
      </c>
      <c r="J349" s="141"/>
      <c r="K349" s="141"/>
      <c r="L349" s="141"/>
      <c r="M349" s="141"/>
      <c r="N349" s="141"/>
      <c r="O349" s="141"/>
      <c r="P349" s="141"/>
      <c r="Q349" s="141"/>
    </row>
    <row r="350" spans="1:17" x14ac:dyDescent="0.2">
      <c r="A350" s="11" t="s">
        <v>0</v>
      </c>
      <c r="B350" s="11" t="s">
        <v>1</v>
      </c>
      <c r="C350" s="9" t="s">
        <v>78</v>
      </c>
      <c r="D350" s="152" t="s">
        <v>195</v>
      </c>
      <c r="E350" s="153"/>
      <c r="F350" s="11" t="s">
        <v>74</v>
      </c>
      <c r="G350" s="10" t="s">
        <v>4</v>
      </c>
      <c r="H350" s="57" t="s">
        <v>58</v>
      </c>
      <c r="I350" s="12" t="s">
        <v>77</v>
      </c>
      <c r="J350" s="10" t="s">
        <v>80</v>
      </c>
      <c r="K350" s="13" t="s">
        <v>79</v>
      </c>
      <c r="L350" s="10" t="s">
        <v>6</v>
      </c>
      <c r="M350" s="10" t="s">
        <v>7</v>
      </c>
      <c r="N350" s="10" t="s">
        <v>8</v>
      </c>
      <c r="O350" s="10" t="s">
        <v>11</v>
      </c>
      <c r="P350" s="10" t="s">
        <v>14</v>
      </c>
      <c r="Q350" s="10" t="s">
        <v>12</v>
      </c>
    </row>
    <row r="351" spans="1:17" x14ac:dyDescent="0.2">
      <c r="A351" s="26">
        <v>1</v>
      </c>
      <c r="B351" s="11" t="s">
        <v>194</v>
      </c>
      <c r="C351" s="23">
        <v>1</v>
      </c>
      <c r="D351" s="141">
        <f>D352-D353-D354</f>
        <v>3375.069</v>
      </c>
      <c r="E351" s="141"/>
      <c r="F351" s="22">
        <v>0.1</v>
      </c>
      <c r="G351" s="22">
        <f>D351*F351</f>
        <v>337.50690000000003</v>
      </c>
      <c r="H351" s="32">
        <f>D351+(58.8+15.4+71.8+3.9+2.9+54.9+14+6.6+53.3)*F351</f>
        <v>3403.2289999999998</v>
      </c>
      <c r="I351" s="24"/>
      <c r="J351" s="14"/>
      <c r="K351" s="25"/>
      <c r="L351" s="14">
        <v>0.222</v>
      </c>
      <c r="M351" s="14">
        <v>0.39400000000000002</v>
      </c>
      <c r="N351" s="14">
        <v>0.61599999999999999</v>
      </c>
      <c r="O351" s="14">
        <v>1.208</v>
      </c>
      <c r="P351" s="14">
        <v>1.99</v>
      </c>
      <c r="Q351" s="14">
        <v>2.9830000000000001</v>
      </c>
    </row>
    <row r="352" spans="1:17" x14ac:dyDescent="0.2">
      <c r="A352" s="28"/>
      <c r="B352" s="11" t="s">
        <v>196</v>
      </c>
      <c r="C352" s="23"/>
      <c r="D352" s="141">
        <v>3841.299</v>
      </c>
      <c r="E352" s="141"/>
      <c r="F352" s="22"/>
      <c r="G352" s="22"/>
      <c r="H352" s="32"/>
      <c r="I352" s="24" t="s">
        <v>109</v>
      </c>
      <c r="J352" s="14">
        <f>56.1+0.16+0.008*35*3</f>
        <v>57.1</v>
      </c>
      <c r="K352" s="25">
        <v>38</v>
      </c>
      <c r="L352" s="22"/>
      <c r="M352" s="22">
        <f>M351*K352*J352</f>
        <v>854.90120000000013</v>
      </c>
      <c r="N352" s="22"/>
      <c r="O352" s="22"/>
      <c r="P352" s="14"/>
      <c r="Q352" s="22"/>
    </row>
    <row r="353" spans="1:17" x14ac:dyDescent="0.2">
      <c r="A353" s="28"/>
      <c r="B353" s="11" t="s">
        <v>197</v>
      </c>
      <c r="C353" s="23"/>
      <c r="D353" s="141">
        <v>394.46</v>
      </c>
      <c r="E353" s="141"/>
      <c r="F353" s="22"/>
      <c r="G353" s="22"/>
      <c r="H353" s="32"/>
      <c r="I353" s="24" t="s">
        <v>199</v>
      </c>
      <c r="J353" s="14">
        <f>52.1+0.16+0.008*35*3</f>
        <v>53.1</v>
      </c>
      <c r="K353" s="25">
        <v>38</v>
      </c>
      <c r="L353" s="22"/>
      <c r="M353" s="22">
        <f>J353*K353*M351</f>
        <v>795.01319999999998</v>
      </c>
      <c r="N353" s="22"/>
      <c r="O353" s="22"/>
      <c r="P353" s="14"/>
      <c r="Q353" s="22"/>
    </row>
    <row r="354" spans="1:17" x14ac:dyDescent="0.2">
      <c r="A354" s="30"/>
      <c r="B354" s="11" t="s">
        <v>198</v>
      </c>
      <c r="C354" s="23"/>
      <c r="D354" s="141">
        <v>71.77</v>
      </c>
      <c r="E354" s="141"/>
      <c r="F354" s="22"/>
      <c r="G354" s="22"/>
      <c r="H354" s="32"/>
      <c r="I354" s="24" t="s">
        <v>200</v>
      </c>
      <c r="J354" s="14">
        <f>3.65+0.16</f>
        <v>3.81</v>
      </c>
      <c r="K354" s="25">
        <v>19</v>
      </c>
      <c r="L354" s="22"/>
      <c r="M354" s="22"/>
      <c r="N354" s="22">
        <f>N351*J354*K354</f>
        <v>44.592240000000004</v>
      </c>
      <c r="O354" s="22"/>
      <c r="P354" s="14"/>
      <c r="Q354" s="22"/>
    </row>
    <row r="355" spans="1:17" x14ac:dyDescent="0.2">
      <c r="A355" s="33"/>
      <c r="B355" s="47"/>
      <c r="C355" s="35"/>
      <c r="D355" s="34"/>
      <c r="E355" s="34"/>
      <c r="F355" s="34"/>
      <c r="G355" s="34"/>
      <c r="H355" s="36"/>
      <c r="I355" s="24" t="s">
        <v>201</v>
      </c>
      <c r="J355" s="14">
        <f>4.95+0.16</f>
        <v>5.1100000000000003</v>
      </c>
      <c r="K355" s="25">
        <v>32</v>
      </c>
      <c r="L355" s="22"/>
      <c r="M355" s="22"/>
      <c r="N355" s="22">
        <f>N351*K355*J355</f>
        <v>100.72832000000001</v>
      </c>
      <c r="O355" s="22"/>
      <c r="P355" s="14"/>
      <c r="Q355" s="22"/>
    </row>
    <row r="356" spans="1:17" x14ac:dyDescent="0.2">
      <c r="A356" s="37"/>
      <c r="H356" s="38"/>
      <c r="I356" s="24" t="s">
        <v>202</v>
      </c>
      <c r="J356" s="14">
        <f>4.7+0.16</f>
        <v>4.8600000000000003</v>
      </c>
      <c r="K356" s="25">
        <v>19</v>
      </c>
      <c r="L356" s="22"/>
      <c r="M356" s="22">
        <f>M351*K356*J356</f>
        <v>36.381960000000007</v>
      </c>
      <c r="N356" s="22"/>
      <c r="O356" s="22"/>
      <c r="P356" s="14"/>
      <c r="Q356" s="22"/>
    </row>
    <row r="357" spans="1:17" x14ac:dyDescent="0.2">
      <c r="A357" s="37"/>
      <c r="H357" s="38"/>
      <c r="I357" s="24" t="s">
        <v>203</v>
      </c>
      <c r="J357" s="14">
        <v>7.41</v>
      </c>
      <c r="K357" s="25">
        <v>34</v>
      </c>
      <c r="L357" s="22"/>
      <c r="M357" s="22"/>
      <c r="N357" s="14">
        <f>N351*K357*J357</f>
        <v>155.19504000000001</v>
      </c>
      <c r="O357" s="22"/>
      <c r="P357" s="14"/>
      <c r="Q357" s="22"/>
    </row>
    <row r="358" spans="1:17" x14ac:dyDescent="0.2">
      <c r="A358" s="37"/>
      <c r="H358" s="38"/>
      <c r="I358" s="24" t="s">
        <v>204</v>
      </c>
      <c r="J358" s="14">
        <v>1.51</v>
      </c>
      <c r="K358" s="25">
        <v>16</v>
      </c>
      <c r="L358" s="22"/>
      <c r="M358" s="22">
        <f>M351*J358*K358</f>
        <v>9.5190400000000004</v>
      </c>
      <c r="N358" s="22"/>
      <c r="O358" s="22"/>
      <c r="P358" s="14"/>
      <c r="Q358" s="22"/>
    </row>
    <row r="359" spans="1:17" x14ac:dyDescent="0.2">
      <c r="A359" s="37"/>
      <c r="H359" s="38"/>
      <c r="I359" s="24" t="s">
        <v>205</v>
      </c>
      <c r="J359" s="14">
        <f>63.1+0.16+4*0.008*35</f>
        <v>64.38</v>
      </c>
      <c r="K359" s="25">
        <v>78</v>
      </c>
      <c r="L359" s="22"/>
      <c r="M359" s="22">
        <f>M351*K359*J359</f>
        <v>1978.5261600000001</v>
      </c>
      <c r="N359" s="22"/>
      <c r="O359" s="22"/>
      <c r="P359" s="14"/>
      <c r="Q359" s="22"/>
    </row>
    <row r="360" spans="1:17" x14ac:dyDescent="0.2">
      <c r="A360" s="37"/>
      <c r="H360" s="38"/>
      <c r="I360" s="24" t="s">
        <v>110</v>
      </c>
      <c r="J360" s="14">
        <f>7.15+0.016</f>
        <v>7.1660000000000004</v>
      </c>
      <c r="K360" s="25">
        <v>252</v>
      </c>
      <c r="L360" s="22"/>
      <c r="M360" s="22"/>
      <c r="N360" s="22">
        <f>N351*K360*J360</f>
        <v>1112.3925120000001</v>
      </c>
      <c r="O360" s="22"/>
      <c r="P360" s="14"/>
      <c r="Q360" s="22"/>
    </row>
    <row r="361" spans="1:17" x14ac:dyDescent="0.2">
      <c r="A361" s="37"/>
      <c r="H361" s="38"/>
      <c r="I361" s="24" t="s">
        <v>206</v>
      </c>
      <c r="J361" s="14">
        <v>4.71</v>
      </c>
      <c r="K361" s="25">
        <v>32</v>
      </c>
      <c r="L361" s="22"/>
      <c r="M361" s="22"/>
      <c r="N361" s="22">
        <f>N351*K361*J361</f>
        <v>92.843519999999998</v>
      </c>
      <c r="O361" s="22"/>
      <c r="P361" s="14"/>
      <c r="Q361" s="22"/>
    </row>
    <row r="362" spans="1:17" x14ac:dyDescent="0.2">
      <c r="A362" s="37"/>
      <c r="H362" s="38"/>
      <c r="I362" s="24" t="s">
        <v>207</v>
      </c>
      <c r="J362" s="14">
        <f>J357</f>
        <v>7.41</v>
      </c>
      <c r="K362" s="25">
        <v>34</v>
      </c>
      <c r="L362" s="22"/>
      <c r="M362" s="22"/>
      <c r="N362" s="22">
        <f>N351*K362*J362</f>
        <v>155.19504000000001</v>
      </c>
      <c r="O362" s="22"/>
      <c r="P362" s="14"/>
      <c r="Q362" s="22"/>
    </row>
    <row r="363" spans="1:17" x14ac:dyDescent="0.2">
      <c r="A363" s="37"/>
      <c r="H363" s="38"/>
      <c r="I363" s="24" t="s">
        <v>111</v>
      </c>
      <c r="J363" s="14">
        <f>J362</f>
        <v>7.41</v>
      </c>
      <c r="K363" s="25">
        <v>29</v>
      </c>
      <c r="L363" s="22"/>
      <c r="M363" s="22"/>
      <c r="N363" s="22">
        <f>N351*K363*J363</f>
        <v>132.37224000000001</v>
      </c>
      <c r="O363" s="22"/>
      <c r="P363" s="14"/>
      <c r="Q363" s="22"/>
    </row>
    <row r="364" spans="1:17" x14ac:dyDescent="0.2">
      <c r="A364" s="37"/>
      <c r="H364" s="38"/>
      <c r="I364" s="24" t="s">
        <v>208</v>
      </c>
      <c r="J364" s="14">
        <f>42.2+0.16+35*0.008*3</f>
        <v>43.2</v>
      </c>
      <c r="K364" s="25">
        <v>118</v>
      </c>
      <c r="L364" s="22"/>
      <c r="M364" s="22">
        <f>J364*K364*M351</f>
        <v>2008.4544000000003</v>
      </c>
      <c r="N364" s="22"/>
      <c r="O364" s="22"/>
      <c r="P364" s="14"/>
      <c r="Q364" s="22"/>
    </row>
    <row r="365" spans="1:17" x14ac:dyDescent="0.2">
      <c r="A365" s="37"/>
      <c r="H365" s="38"/>
      <c r="I365" s="24" t="s">
        <v>209</v>
      </c>
      <c r="J365" s="14">
        <f>21.2+0.16+35*0.008*1</f>
        <v>21.64</v>
      </c>
      <c r="K365" s="25">
        <v>34</v>
      </c>
      <c r="L365" s="22"/>
      <c r="M365" s="22">
        <f>M351*K365*J365</f>
        <v>289.88944000000004</v>
      </c>
      <c r="N365" s="22"/>
      <c r="O365" s="22"/>
      <c r="P365" s="14"/>
      <c r="Q365" s="22"/>
    </row>
    <row r="366" spans="1:17" x14ac:dyDescent="0.2">
      <c r="A366" s="37"/>
      <c r="H366" s="38"/>
      <c r="I366" s="24" t="s">
        <v>210</v>
      </c>
      <c r="J366" s="14">
        <f>22.35+0.16+35*0.008*1</f>
        <v>22.790000000000003</v>
      </c>
      <c r="K366" s="25">
        <v>45</v>
      </c>
      <c r="L366" s="22"/>
      <c r="M366" s="22">
        <f>J366*K366*M351</f>
        <v>404.06670000000008</v>
      </c>
      <c r="N366" s="22"/>
      <c r="O366" s="22"/>
      <c r="P366" s="14"/>
      <c r="Q366" s="22"/>
    </row>
    <row r="367" spans="1:17" x14ac:dyDescent="0.2">
      <c r="A367" s="37"/>
      <c r="H367" s="38"/>
      <c r="I367" s="24" t="s">
        <v>211</v>
      </c>
      <c r="J367" s="14">
        <f>3.7+0.16</f>
        <v>3.8600000000000003</v>
      </c>
      <c r="K367" s="25">
        <v>34</v>
      </c>
      <c r="L367" s="22"/>
      <c r="M367" s="22"/>
      <c r="N367" s="22">
        <f>N351*K367*J367</f>
        <v>80.84384</v>
      </c>
      <c r="O367" s="22"/>
      <c r="P367" s="14"/>
      <c r="Q367" s="22"/>
    </row>
    <row r="368" spans="1:17" x14ac:dyDescent="0.2">
      <c r="A368" s="37"/>
      <c r="H368" s="38"/>
      <c r="I368" s="24" t="s">
        <v>212</v>
      </c>
      <c r="J368" s="14">
        <f>18.1+0.16+35*0.08</f>
        <v>21.060000000000002</v>
      </c>
      <c r="K368" s="25">
        <v>90</v>
      </c>
      <c r="L368" s="22"/>
      <c r="M368" s="22">
        <f>M351*J368*K368</f>
        <v>746.78760000000011</v>
      </c>
      <c r="N368" s="22"/>
      <c r="O368" s="22"/>
      <c r="P368" s="14"/>
      <c r="Q368" s="22"/>
    </row>
    <row r="369" spans="1:17" x14ac:dyDescent="0.2">
      <c r="A369" s="37"/>
      <c r="H369" s="38"/>
      <c r="I369" s="24" t="s">
        <v>213</v>
      </c>
      <c r="J369" s="14">
        <v>3.26</v>
      </c>
      <c r="K369" s="25">
        <v>23</v>
      </c>
      <c r="L369" s="22"/>
      <c r="M369" s="22">
        <f>M351*J369*K369</f>
        <v>29.542120000000001</v>
      </c>
      <c r="N369" s="22"/>
      <c r="O369" s="22"/>
      <c r="P369" s="14"/>
      <c r="Q369" s="22"/>
    </row>
    <row r="370" spans="1:17" x14ac:dyDescent="0.2">
      <c r="A370" s="37"/>
      <c r="H370" s="38"/>
      <c r="I370" s="24" t="s">
        <v>214</v>
      </c>
      <c r="J370" s="14">
        <v>3.61</v>
      </c>
      <c r="K370" s="25">
        <v>50</v>
      </c>
      <c r="L370" s="22"/>
      <c r="M370" s="22"/>
      <c r="N370" s="22">
        <f>N351*J370*K370</f>
        <v>111.188</v>
      </c>
      <c r="O370" s="22"/>
      <c r="P370" s="14"/>
      <c r="Q370" s="22"/>
    </row>
    <row r="371" spans="1:17" x14ac:dyDescent="0.2">
      <c r="A371" s="37"/>
      <c r="H371" s="38"/>
      <c r="I371" s="24" t="s">
        <v>215</v>
      </c>
      <c r="J371" s="14">
        <v>2.66</v>
      </c>
      <c r="K371" s="25">
        <v>23</v>
      </c>
      <c r="L371" s="22"/>
      <c r="M371" s="22">
        <f>M351*K371*J371</f>
        <v>24.104920000000003</v>
      </c>
      <c r="N371" s="22"/>
      <c r="O371" s="22"/>
      <c r="P371" s="14"/>
      <c r="Q371" s="22"/>
    </row>
    <row r="372" spans="1:17" x14ac:dyDescent="0.2">
      <c r="A372" s="37"/>
      <c r="H372" s="38"/>
      <c r="I372" s="24" t="s">
        <v>216</v>
      </c>
      <c r="J372" s="14">
        <f>4.85+0.016</f>
        <v>4.8659999999999997</v>
      </c>
      <c r="K372" s="25">
        <v>6</v>
      </c>
      <c r="L372" s="22"/>
      <c r="M372" s="22">
        <f>M351*K372*J372</f>
        <v>11.503223999999999</v>
      </c>
      <c r="N372" s="22"/>
      <c r="O372" s="22"/>
      <c r="P372" s="14"/>
      <c r="Q372" s="22"/>
    </row>
    <row r="373" spans="1:17" x14ac:dyDescent="0.2">
      <c r="A373" s="37"/>
      <c r="H373" s="38"/>
      <c r="I373" s="24" t="s">
        <v>217</v>
      </c>
      <c r="J373" s="14">
        <f>2.9+0.16</f>
        <v>3.06</v>
      </c>
      <c r="K373" s="25">
        <v>24</v>
      </c>
      <c r="L373" s="22"/>
      <c r="M373" s="22"/>
      <c r="N373" s="22">
        <f>N351*K373*J373</f>
        <v>45.239039999999996</v>
      </c>
      <c r="O373" s="22"/>
      <c r="P373" s="14"/>
      <c r="Q373" s="22"/>
    </row>
    <row r="374" spans="1:17" x14ac:dyDescent="0.2">
      <c r="A374" s="37"/>
      <c r="H374" s="38"/>
      <c r="I374" s="24" t="s">
        <v>218</v>
      </c>
      <c r="J374" s="14">
        <v>6.36</v>
      </c>
      <c r="K374" s="25">
        <v>44</v>
      </c>
      <c r="L374" s="22"/>
      <c r="M374" s="22"/>
      <c r="N374" s="22">
        <f>N351*K374*J374</f>
        <v>172.38144</v>
      </c>
      <c r="O374" s="22"/>
      <c r="P374" s="14"/>
      <c r="Q374" s="22"/>
    </row>
    <row r="375" spans="1:17" x14ac:dyDescent="0.2">
      <c r="A375" s="37"/>
      <c r="H375" s="38"/>
      <c r="I375" s="24" t="s">
        <v>112</v>
      </c>
      <c r="J375" s="14">
        <f>12.2+0.16+0.008*35</f>
        <v>12.639999999999999</v>
      </c>
      <c r="K375" s="25">
        <v>184</v>
      </c>
      <c r="L375" s="22"/>
      <c r="M375" s="22">
        <f>M351*K375*J375</f>
        <v>916.34944000000007</v>
      </c>
      <c r="N375" s="22"/>
      <c r="O375" s="22"/>
      <c r="P375" s="14"/>
      <c r="Q375" s="22"/>
    </row>
    <row r="376" spans="1:17" x14ac:dyDescent="0.2">
      <c r="A376" s="37"/>
      <c r="H376" s="38"/>
      <c r="I376" s="24" t="s">
        <v>113</v>
      </c>
      <c r="J376" s="14">
        <f>21.1+0.16+0.008*35</f>
        <v>21.540000000000003</v>
      </c>
      <c r="K376" s="25">
        <f>139*2</f>
        <v>278</v>
      </c>
      <c r="L376" s="22"/>
      <c r="M376" s="22">
        <f>K376*M351*J376</f>
        <v>2359.3192800000006</v>
      </c>
      <c r="N376" s="22"/>
      <c r="O376" s="22"/>
      <c r="P376" s="14"/>
      <c r="Q376" s="22"/>
    </row>
    <row r="377" spans="1:17" x14ac:dyDescent="0.2">
      <c r="A377" s="37"/>
      <c r="H377" s="38"/>
      <c r="I377" s="24" t="s">
        <v>219</v>
      </c>
      <c r="J377" s="14">
        <f>7.25+0.16</f>
        <v>7.41</v>
      </c>
      <c r="K377" s="25">
        <v>68</v>
      </c>
      <c r="L377" s="22"/>
      <c r="M377" s="22"/>
      <c r="N377" s="22">
        <f>N351*K377*J377</f>
        <v>310.39008000000001</v>
      </c>
      <c r="O377" s="22"/>
      <c r="P377" s="14"/>
      <c r="Q377" s="22"/>
    </row>
    <row r="378" spans="1:17" x14ac:dyDescent="0.2">
      <c r="A378" s="37"/>
      <c r="H378" s="38"/>
      <c r="I378" s="24" t="s">
        <v>114</v>
      </c>
      <c r="J378" s="14">
        <f>57.1+0.16+0.008*35*4</f>
        <v>58.379999999999995</v>
      </c>
      <c r="K378" s="25">
        <v>69</v>
      </c>
      <c r="L378" s="22"/>
      <c r="M378" s="22">
        <f>M351*K378*J378</f>
        <v>1587.1186799999998</v>
      </c>
      <c r="N378" s="22"/>
      <c r="O378" s="22"/>
      <c r="P378" s="14"/>
      <c r="Q378" s="22"/>
    </row>
    <row r="379" spans="1:17" x14ac:dyDescent="0.2">
      <c r="A379" s="37"/>
      <c r="H379" s="38"/>
      <c r="I379" s="24" t="s">
        <v>220</v>
      </c>
      <c r="J379" s="14">
        <f>51.1+0.16+0.008*35*4</f>
        <v>52.379999999999995</v>
      </c>
      <c r="K379" s="25">
        <v>22</v>
      </c>
      <c r="L379" s="22"/>
      <c r="M379" s="22">
        <f>M351*K379*J379</f>
        <v>454.02984000000004</v>
      </c>
      <c r="N379" s="22"/>
      <c r="O379" s="22"/>
      <c r="P379" s="14"/>
      <c r="Q379" s="22"/>
    </row>
    <row r="380" spans="1:17" x14ac:dyDescent="0.2">
      <c r="A380" s="37"/>
      <c r="H380" s="38"/>
      <c r="I380" s="24" t="s">
        <v>221</v>
      </c>
      <c r="J380" s="14">
        <v>46.46</v>
      </c>
      <c r="K380" s="25">
        <v>45</v>
      </c>
      <c r="L380" s="22"/>
      <c r="M380" s="22">
        <f>M351*K380*J380</f>
        <v>823.73580000000004</v>
      </c>
      <c r="N380" s="22"/>
      <c r="O380" s="22"/>
      <c r="P380" s="14"/>
      <c r="Q380" s="22"/>
    </row>
    <row r="381" spans="1:17" x14ac:dyDescent="0.2">
      <c r="A381" s="37"/>
      <c r="H381" s="38"/>
      <c r="I381" s="24" t="s">
        <v>222</v>
      </c>
      <c r="J381" s="14">
        <v>40.46</v>
      </c>
      <c r="K381" s="25">
        <v>45</v>
      </c>
      <c r="L381" s="22"/>
      <c r="M381" s="22">
        <f>M351*K381*J381</f>
        <v>717.35580000000004</v>
      </c>
      <c r="N381" s="22"/>
      <c r="O381" s="22"/>
      <c r="P381" s="14"/>
      <c r="Q381" s="22"/>
    </row>
    <row r="382" spans="1:17" x14ac:dyDescent="0.2">
      <c r="A382" s="37"/>
      <c r="H382" s="38"/>
      <c r="I382" s="24" t="s">
        <v>223</v>
      </c>
      <c r="J382" s="14">
        <v>4.96</v>
      </c>
      <c r="K382" s="25">
        <v>5</v>
      </c>
      <c r="L382" s="22"/>
      <c r="M382" s="22">
        <f>M351*K382*J382</f>
        <v>9.7712000000000003</v>
      </c>
      <c r="N382" s="22"/>
      <c r="O382" s="22"/>
      <c r="P382" s="14"/>
      <c r="Q382" s="22"/>
    </row>
    <row r="383" spans="1:17" x14ac:dyDescent="0.2">
      <c r="A383" s="37"/>
      <c r="H383" s="38"/>
      <c r="I383" s="24" t="s">
        <v>224</v>
      </c>
      <c r="J383" s="14">
        <v>7.26</v>
      </c>
      <c r="K383" s="25">
        <v>17</v>
      </c>
      <c r="L383" s="22"/>
      <c r="M383" s="22"/>
      <c r="N383" s="22">
        <f>N351*K383*J383</f>
        <v>76.026719999999997</v>
      </c>
      <c r="O383" s="22"/>
      <c r="P383" s="14"/>
      <c r="Q383" s="22"/>
    </row>
    <row r="384" spans="1:17" x14ac:dyDescent="0.2">
      <c r="A384" s="37"/>
      <c r="H384" s="38"/>
      <c r="I384" s="24" t="s">
        <v>115</v>
      </c>
      <c r="J384" s="14">
        <v>1.91</v>
      </c>
      <c r="K384" s="25">
        <v>942</v>
      </c>
      <c r="L384" s="22"/>
      <c r="M384" s="22"/>
      <c r="N384" s="22">
        <f>N351*K384*J384</f>
        <v>1108.31952</v>
      </c>
      <c r="O384" s="22"/>
      <c r="P384" s="14"/>
      <c r="Q384" s="22"/>
    </row>
    <row r="385" spans="1:17" x14ac:dyDescent="0.2">
      <c r="A385" s="37"/>
      <c r="H385" s="38"/>
      <c r="I385" s="24" t="s">
        <v>225</v>
      </c>
      <c r="J385" s="14">
        <v>4.96</v>
      </c>
      <c r="K385" s="25">
        <v>19</v>
      </c>
      <c r="L385" s="22"/>
      <c r="M385" s="22"/>
      <c r="N385" s="22">
        <f>N351*K385*J385</f>
        <v>58.051840000000006</v>
      </c>
      <c r="O385" s="22"/>
      <c r="P385" s="14"/>
      <c r="Q385" s="22"/>
    </row>
    <row r="386" spans="1:17" x14ac:dyDescent="0.2">
      <c r="A386" s="37"/>
      <c r="H386" s="38"/>
      <c r="I386" s="24" t="s">
        <v>226</v>
      </c>
      <c r="J386" s="14">
        <v>1.1599999999999999</v>
      </c>
      <c r="K386" s="25">
        <v>844</v>
      </c>
      <c r="L386" s="22"/>
      <c r="M386" s="22">
        <f>K386*J386*M351</f>
        <v>385.74176</v>
      </c>
      <c r="N386" s="22"/>
      <c r="O386" s="22"/>
      <c r="P386" s="14"/>
      <c r="Q386" s="22"/>
    </row>
    <row r="387" spans="1:17" x14ac:dyDescent="0.2">
      <c r="A387" s="37"/>
      <c r="H387" s="38"/>
      <c r="I387" s="24" t="s">
        <v>227</v>
      </c>
      <c r="J387" s="14">
        <v>0.81</v>
      </c>
      <c r="K387" s="25">
        <v>84</v>
      </c>
      <c r="L387" s="22"/>
      <c r="M387" s="22"/>
      <c r="N387" s="22">
        <f>N351*K387*J387</f>
        <v>41.912640000000003</v>
      </c>
      <c r="O387" s="22"/>
      <c r="P387" s="14"/>
      <c r="Q387" s="22"/>
    </row>
    <row r="388" spans="1:17" x14ac:dyDescent="0.2">
      <c r="A388" s="37"/>
      <c r="H388" s="38"/>
      <c r="I388" s="24" t="s">
        <v>228</v>
      </c>
      <c r="J388" s="14">
        <v>1.46</v>
      </c>
      <c r="K388" s="25">
        <v>42</v>
      </c>
      <c r="L388" s="22"/>
      <c r="M388" s="22"/>
      <c r="N388" s="22">
        <f>N351*K388*J388</f>
        <v>37.773119999999999</v>
      </c>
      <c r="O388" s="22"/>
      <c r="P388" s="14"/>
      <c r="Q388" s="22"/>
    </row>
    <row r="389" spans="1:17" x14ac:dyDescent="0.2">
      <c r="A389" s="37"/>
      <c r="H389" s="38"/>
      <c r="I389" s="24" t="s">
        <v>229</v>
      </c>
      <c r="J389" s="14">
        <v>3.61</v>
      </c>
      <c r="K389" s="25">
        <v>18</v>
      </c>
      <c r="L389" s="22"/>
      <c r="M389" s="22"/>
      <c r="N389" s="22">
        <f>N351*K389*J389</f>
        <v>40.027679999999997</v>
      </c>
      <c r="O389" s="22"/>
      <c r="P389" s="14"/>
      <c r="Q389" s="22"/>
    </row>
    <row r="390" spans="1:17" x14ac:dyDescent="0.2">
      <c r="A390" s="37"/>
      <c r="H390" s="38"/>
      <c r="I390" s="24" t="s">
        <v>230</v>
      </c>
      <c r="J390" s="14">
        <v>3.06</v>
      </c>
      <c r="K390" s="25">
        <v>14</v>
      </c>
      <c r="L390" s="22"/>
      <c r="M390" s="22"/>
      <c r="N390" s="22">
        <f>K390*J390*N351</f>
        <v>26.38944</v>
      </c>
      <c r="O390" s="22"/>
      <c r="P390" s="14"/>
      <c r="Q390" s="22"/>
    </row>
    <row r="391" spans="1:17" x14ac:dyDescent="0.2">
      <c r="A391" s="37"/>
      <c r="H391" s="38"/>
      <c r="I391" s="24" t="s">
        <v>231</v>
      </c>
      <c r="J391" s="14">
        <v>3.81</v>
      </c>
      <c r="K391" s="25">
        <v>45</v>
      </c>
      <c r="L391" s="22"/>
      <c r="M391" s="22"/>
      <c r="N391" s="22">
        <f>N351*K391*J391</f>
        <v>105.61319999999999</v>
      </c>
      <c r="O391" s="22"/>
      <c r="P391" s="14"/>
      <c r="Q391" s="22"/>
    </row>
    <row r="392" spans="1:17" x14ac:dyDescent="0.2">
      <c r="A392" s="37"/>
      <c r="H392" s="38"/>
      <c r="I392" s="24" t="s">
        <v>117</v>
      </c>
      <c r="J392" s="14">
        <v>3.51</v>
      </c>
      <c r="K392" s="25">
        <v>2112</v>
      </c>
      <c r="L392" s="22"/>
      <c r="M392" s="22"/>
      <c r="N392" s="22">
        <f>N351*K392*J392</f>
        <v>4566.4819199999993</v>
      </c>
      <c r="O392" s="22"/>
      <c r="P392" s="14"/>
      <c r="Q392" s="22"/>
    </row>
    <row r="393" spans="1:17" x14ac:dyDescent="0.2">
      <c r="A393" s="37"/>
      <c r="H393" s="38"/>
      <c r="I393" s="24" t="s">
        <v>118</v>
      </c>
      <c r="J393" s="14">
        <v>2.46</v>
      </c>
      <c r="K393" s="25">
        <v>38</v>
      </c>
      <c r="L393" s="22"/>
      <c r="M393" s="22"/>
      <c r="N393" s="22">
        <f>N351*K393*J393</f>
        <v>57.583680000000001</v>
      </c>
      <c r="O393" s="22"/>
      <c r="P393" s="14"/>
      <c r="Q393" s="22"/>
    </row>
    <row r="394" spans="1:17" x14ac:dyDescent="0.2">
      <c r="A394" s="37"/>
      <c r="H394" s="38"/>
      <c r="I394" s="24" t="s">
        <v>119</v>
      </c>
      <c r="J394" s="14">
        <v>0.81</v>
      </c>
      <c r="K394" s="25">
        <v>39</v>
      </c>
      <c r="L394" s="22"/>
      <c r="M394" s="22"/>
      <c r="N394" s="22">
        <f>N351*K394*J394</f>
        <v>19.459440000000001</v>
      </c>
      <c r="O394" s="22"/>
      <c r="P394" s="14"/>
      <c r="Q394" s="22"/>
    </row>
    <row r="395" spans="1:17" x14ac:dyDescent="0.2">
      <c r="A395" s="37"/>
      <c r="H395" s="38"/>
      <c r="I395" s="24" t="s">
        <v>120</v>
      </c>
      <c r="J395" s="14">
        <v>1.51</v>
      </c>
      <c r="K395" s="25">
        <v>16</v>
      </c>
      <c r="L395" s="22"/>
      <c r="M395" s="22"/>
      <c r="N395" s="22">
        <f>N351*K395*J395</f>
        <v>14.88256</v>
      </c>
      <c r="O395" s="22"/>
      <c r="P395" s="14"/>
      <c r="Q395" s="22"/>
    </row>
    <row r="396" spans="1:17" x14ac:dyDescent="0.2">
      <c r="A396" s="37"/>
      <c r="H396" s="38"/>
      <c r="I396" s="24" t="s">
        <v>122</v>
      </c>
      <c r="J396" s="14">
        <v>1.91</v>
      </c>
      <c r="K396" s="25">
        <v>55</v>
      </c>
      <c r="L396" s="22"/>
      <c r="M396" s="22"/>
      <c r="N396" s="22">
        <f>N351*K396*J396</f>
        <v>64.710800000000006</v>
      </c>
      <c r="O396" s="22"/>
      <c r="P396" s="14"/>
      <c r="Q396" s="22"/>
    </row>
    <row r="397" spans="1:17" x14ac:dyDescent="0.2">
      <c r="A397" s="37"/>
      <c r="H397" s="38"/>
      <c r="I397" s="24" t="s">
        <v>123</v>
      </c>
      <c r="J397" s="14">
        <v>1.91</v>
      </c>
      <c r="K397" s="25">
        <v>1155</v>
      </c>
      <c r="L397" s="22"/>
      <c r="M397" s="22"/>
      <c r="N397" s="22">
        <f>N351*K397*J397</f>
        <v>1358.9268</v>
      </c>
      <c r="O397" s="22"/>
      <c r="P397" s="14"/>
      <c r="Q397" s="22"/>
    </row>
    <row r="398" spans="1:17" x14ac:dyDescent="0.2">
      <c r="A398" s="37"/>
      <c r="H398" s="38"/>
      <c r="I398" s="24" t="s">
        <v>124</v>
      </c>
      <c r="J398" s="14">
        <v>3.46</v>
      </c>
      <c r="K398" s="25">
        <v>2100</v>
      </c>
      <c r="L398" s="22"/>
      <c r="M398" s="22"/>
      <c r="N398" s="22">
        <f>N351*K398*J398</f>
        <v>4475.8559999999998</v>
      </c>
      <c r="O398" s="22"/>
      <c r="P398" s="14"/>
      <c r="Q398" s="22"/>
    </row>
    <row r="399" spans="1:17" x14ac:dyDescent="0.2">
      <c r="A399" s="37"/>
      <c r="H399" s="38"/>
      <c r="I399" s="24" t="s">
        <v>234</v>
      </c>
      <c r="J399" s="14">
        <v>2.66</v>
      </c>
      <c r="K399" s="25">
        <v>21</v>
      </c>
      <c r="L399" s="22"/>
      <c r="M399" s="22"/>
      <c r="N399" s="22">
        <f>N351*K399*J399</f>
        <v>34.409759999999999</v>
      </c>
      <c r="O399" s="22"/>
      <c r="P399" s="14"/>
      <c r="Q399" s="22"/>
    </row>
    <row r="400" spans="1:17" x14ac:dyDescent="0.2">
      <c r="A400" s="37"/>
      <c r="H400" s="38"/>
      <c r="I400" s="24" t="s">
        <v>126</v>
      </c>
      <c r="J400" s="14">
        <v>1.91</v>
      </c>
      <c r="K400" s="25">
        <v>508</v>
      </c>
      <c r="L400" s="22"/>
      <c r="M400" s="22"/>
      <c r="N400" s="22">
        <f>N351*K400*J400</f>
        <v>597.69247999999993</v>
      </c>
      <c r="O400" s="22"/>
      <c r="P400" s="14"/>
      <c r="Q400" s="22"/>
    </row>
    <row r="401" spans="1:18" x14ac:dyDescent="0.2">
      <c r="A401" s="37"/>
      <c r="H401" s="38"/>
      <c r="I401" s="24" t="s">
        <v>127</v>
      </c>
      <c r="J401" s="14">
        <v>1.91</v>
      </c>
      <c r="K401" s="25">
        <v>90</v>
      </c>
      <c r="L401" s="22"/>
      <c r="M401" s="22"/>
      <c r="N401" s="22">
        <f>N351*K401*J401</f>
        <v>105.89039999999999</v>
      </c>
      <c r="O401" s="22"/>
      <c r="P401" s="14"/>
      <c r="Q401" s="22"/>
    </row>
    <row r="402" spans="1:18" x14ac:dyDescent="0.2">
      <c r="A402" s="37"/>
      <c r="H402" s="38"/>
      <c r="I402" s="24" t="s">
        <v>128</v>
      </c>
      <c r="J402" s="14">
        <v>0.81</v>
      </c>
      <c r="K402" s="25">
        <v>132</v>
      </c>
      <c r="L402" s="22"/>
      <c r="M402" s="22"/>
      <c r="N402" s="22">
        <f>N351*K402*J402</f>
        <v>65.862719999999996</v>
      </c>
      <c r="O402" s="22"/>
      <c r="P402" s="14"/>
      <c r="Q402" s="22"/>
    </row>
    <row r="403" spans="1:18" x14ac:dyDescent="0.2">
      <c r="A403" s="37"/>
      <c r="H403" s="38"/>
      <c r="I403" s="24" t="s">
        <v>232</v>
      </c>
      <c r="J403" s="14">
        <v>1.21</v>
      </c>
      <c r="K403" s="25">
        <v>374</v>
      </c>
      <c r="L403" s="22"/>
      <c r="M403" s="22"/>
      <c r="N403" s="22">
        <f>N351*K403*J403</f>
        <v>278.76463999999999</v>
      </c>
      <c r="O403" s="22"/>
      <c r="P403" s="14"/>
      <c r="Q403" s="22"/>
    </row>
    <row r="404" spans="1:18" x14ac:dyDescent="0.2">
      <c r="A404" s="37"/>
      <c r="H404" s="38"/>
      <c r="I404" s="24" t="s">
        <v>233</v>
      </c>
      <c r="J404" s="14">
        <v>1.1599999999999999</v>
      </c>
      <c r="K404" s="25">
        <v>985</v>
      </c>
      <c r="L404" s="22"/>
      <c r="M404" s="22"/>
      <c r="N404" s="22">
        <f>N351*K404*J404</f>
        <v>703.84159999999997</v>
      </c>
      <c r="O404" s="22"/>
      <c r="P404" s="14"/>
      <c r="Q404" s="22"/>
    </row>
    <row r="405" spans="1:18" x14ac:dyDescent="0.2">
      <c r="A405" s="39"/>
      <c r="B405" s="48"/>
      <c r="C405" s="41"/>
      <c r="D405" s="40"/>
      <c r="E405" s="40"/>
      <c r="F405" s="40"/>
      <c r="G405" s="40"/>
      <c r="H405" s="42"/>
      <c r="I405" s="24" t="s">
        <v>192</v>
      </c>
      <c r="J405" s="14"/>
      <c r="K405" s="25"/>
      <c r="L405" s="22">
        <v>1950.5</v>
      </c>
      <c r="M405" s="22"/>
      <c r="N405" s="22"/>
      <c r="O405" s="22"/>
      <c r="P405" s="14"/>
      <c r="Q405" s="22"/>
    </row>
    <row r="406" spans="1:18" x14ac:dyDescent="0.2">
      <c r="A406" s="141" t="s">
        <v>131</v>
      </c>
      <c r="B406" s="141"/>
      <c r="C406" s="141"/>
      <c r="D406" s="141"/>
      <c r="E406" s="141"/>
      <c r="F406" s="141"/>
      <c r="G406" s="22">
        <f>SUM(G351:G354)</f>
        <v>337.50690000000003</v>
      </c>
      <c r="H406" s="22">
        <f>SUM(H351)</f>
        <v>3403.2289999999998</v>
      </c>
      <c r="I406" s="24"/>
      <c r="J406" s="14"/>
      <c r="K406" s="25"/>
      <c r="L406" s="22">
        <f>L405</f>
        <v>1950.5</v>
      </c>
      <c r="M406" s="22">
        <f>SUM(M352:M405)</f>
        <v>14442.111764000001</v>
      </c>
      <c r="N406" s="22">
        <f>SUM(N352:N405)</f>
        <v>16351.838271999997</v>
      </c>
      <c r="O406" s="22"/>
      <c r="P406" s="14"/>
      <c r="Q406" s="22"/>
    </row>
    <row r="408" spans="1:18" ht="26.25" x14ac:dyDescent="0.4">
      <c r="A408" s="162" t="s">
        <v>261</v>
      </c>
      <c r="B408" s="163"/>
      <c r="C408" s="163"/>
      <c r="D408" s="163"/>
      <c r="E408" s="163"/>
      <c r="F408" s="163"/>
      <c r="G408" s="163"/>
      <c r="H408" s="163"/>
      <c r="I408" s="163"/>
      <c r="J408" s="163"/>
      <c r="K408" s="163"/>
      <c r="L408" s="163"/>
      <c r="M408" s="163"/>
      <c r="N408" s="163"/>
      <c r="O408" s="163"/>
      <c r="P408" s="163"/>
      <c r="Q408" s="164"/>
    </row>
    <row r="409" spans="1:18" x14ac:dyDescent="0.2">
      <c r="A409" s="166" t="s">
        <v>256</v>
      </c>
      <c r="B409" s="167"/>
      <c r="C409" s="167"/>
      <c r="D409" s="167"/>
      <c r="E409" s="167"/>
      <c r="F409" s="168"/>
      <c r="G409" s="157" t="s">
        <v>133</v>
      </c>
      <c r="H409" s="157"/>
      <c r="I409" s="154" t="s">
        <v>262</v>
      </c>
      <c r="J409" s="155"/>
      <c r="K409" s="155"/>
      <c r="L409" s="155"/>
      <c r="M409" s="155"/>
      <c r="N409" s="156"/>
      <c r="O409" s="155" t="s">
        <v>263</v>
      </c>
      <c r="P409" s="155"/>
      <c r="Q409" s="156"/>
      <c r="R409" s="16"/>
    </row>
    <row r="410" spans="1:18" x14ac:dyDescent="0.2">
      <c r="A410" s="169"/>
      <c r="B410" s="170"/>
      <c r="C410" s="170"/>
      <c r="D410" s="170"/>
      <c r="E410" s="170"/>
      <c r="F410" s="171"/>
      <c r="G410" s="10" t="s">
        <v>4</v>
      </c>
      <c r="H410" s="10" t="s">
        <v>58</v>
      </c>
      <c r="I410" s="10" t="s">
        <v>6</v>
      </c>
      <c r="J410" s="10" t="s">
        <v>7</v>
      </c>
      <c r="K410" s="10" t="s">
        <v>8</v>
      </c>
      <c r="L410" s="10" t="s">
        <v>11</v>
      </c>
      <c r="M410" s="10" t="s">
        <v>14</v>
      </c>
      <c r="N410" s="10" t="s">
        <v>12</v>
      </c>
      <c r="O410" s="23" t="s">
        <v>251</v>
      </c>
      <c r="P410" s="23" t="s">
        <v>246</v>
      </c>
      <c r="Q410" s="23" t="s">
        <v>250</v>
      </c>
      <c r="R410" s="16"/>
    </row>
    <row r="411" spans="1:18" x14ac:dyDescent="0.2">
      <c r="A411" s="141" t="s">
        <v>248</v>
      </c>
      <c r="B411" s="141"/>
      <c r="C411" s="141"/>
      <c r="D411" s="141"/>
      <c r="E411" s="141"/>
      <c r="F411" s="141"/>
      <c r="G411" s="10" t="s">
        <v>243</v>
      </c>
      <c r="H411" s="10" t="s">
        <v>245</v>
      </c>
      <c r="I411" s="10"/>
      <c r="J411" s="10"/>
      <c r="K411" s="10"/>
      <c r="L411" s="10"/>
      <c r="M411" s="10"/>
      <c r="N411" s="10"/>
      <c r="O411" s="22"/>
      <c r="P411" s="22"/>
      <c r="Q411" s="22"/>
      <c r="R411" s="16"/>
    </row>
    <row r="412" spans="1:18" x14ac:dyDescent="0.2">
      <c r="A412" s="140" t="s">
        <v>132</v>
      </c>
      <c r="B412" s="140"/>
      <c r="C412" s="140"/>
      <c r="D412" s="140"/>
      <c r="E412" s="140"/>
      <c r="F412" s="140"/>
      <c r="G412" s="22">
        <f>G87</f>
        <v>38.358000000000004</v>
      </c>
      <c r="H412" s="22">
        <f>H87</f>
        <v>492.26</v>
      </c>
      <c r="I412" s="80">
        <f>L87</f>
        <v>129.87</v>
      </c>
      <c r="J412" s="80">
        <f>M87</f>
        <v>1017.7886800000001</v>
      </c>
      <c r="K412" s="22"/>
      <c r="L412" s="81">
        <f>O87</f>
        <v>633.35439999999994</v>
      </c>
      <c r="M412" s="14">
        <f>P87</f>
        <v>5997.342599999999</v>
      </c>
      <c r="N412" s="22"/>
      <c r="O412" s="22">
        <f>J412+I412</f>
        <v>1147.65868</v>
      </c>
      <c r="P412" s="14">
        <f>L412+M412</f>
        <v>6630.6969999999992</v>
      </c>
      <c r="Q412" s="22"/>
      <c r="R412" s="16"/>
    </row>
    <row r="413" spans="1:18" x14ac:dyDescent="0.2">
      <c r="A413" s="165" t="s">
        <v>131</v>
      </c>
      <c r="B413" s="165"/>
      <c r="C413" s="165"/>
      <c r="D413" s="165"/>
      <c r="E413" s="165"/>
      <c r="F413" s="165"/>
      <c r="G413" s="80">
        <f>G117</f>
        <v>76.451300000000003</v>
      </c>
      <c r="H413" s="80">
        <f>H117</f>
        <v>711.22799999999995</v>
      </c>
      <c r="I413" s="80">
        <f>L117</f>
        <v>406.26</v>
      </c>
      <c r="J413" s="81">
        <f>M117</f>
        <v>2884.9231600000003</v>
      </c>
      <c r="K413" s="80"/>
      <c r="L413" s="22"/>
      <c r="M413" s="14"/>
      <c r="N413" s="22"/>
      <c r="O413" s="14">
        <f>I413+J413+K413</f>
        <v>3291.1831600000005</v>
      </c>
      <c r="P413" s="14"/>
      <c r="Q413" s="22"/>
      <c r="R413" s="16"/>
    </row>
    <row r="414" spans="1:18" s="15" customFormat="1" x14ac:dyDescent="0.2">
      <c r="A414" s="140" t="s">
        <v>257</v>
      </c>
      <c r="B414" s="140"/>
      <c r="C414" s="140"/>
      <c r="D414" s="140"/>
      <c r="E414" s="140"/>
      <c r="F414" s="140"/>
      <c r="G414" s="22">
        <f>G344</f>
        <v>182.42724999999999</v>
      </c>
      <c r="H414" s="22">
        <f>H344</f>
        <v>1394.6100000000001</v>
      </c>
      <c r="I414" s="22">
        <f>L344</f>
        <v>117.88200000000001</v>
      </c>
      <c r="J414" s="14">
        <f>M344</f>
        <v>4586.6958400000012</v>
      </c>
      <c r="K414" s="22"/>
      <c r="L414" s="22">
        <f>O344</f>
        <v>1117.2308800000001</v>
      </c>
      <c r="M414" s="72">
        <f>P344</f>
        <v>24426.147539999994</v>
      </c>
      <c r="N414" s="22">
        <f>Q344</f>
        <v>1750.3050800000003</v>
      </c>
      <c r="O414" s="14">
        <f t="shared" ref="O414:O415" si="0">I414+J414+K414</f>
        <v>4704.5778400000008</v>
      </c>
      <c r="P414" s="14">
        <f t="shared" ref="P414" si="1">L414+M414</f>
        <v>25543.378419999994</v>
      </c>
      <c r="Q414" s="22">
        <f t="shared" ref="Q414" si="2">N414</f>
        <v>1750.3050800000003</v>
      </c>
      <c r="R414" s="16"/>
    </row>
    <row r="415" spans="1:18" s="15" customFormat="1" x14ac:dyDescent="0.2">
      <c r="A415" s="140" t="s">
        <v>258</v>
      </c>
      <c r="B415" s="140"/>
      <c r="C415" s="140"/>
      <c r="D415" s="140"/>
      <c r="E415" s="140"/>
      <c r="F415" s="140"/>
      <c r="G415" s="22">
        <f>G406</f>
        <v>337.50690000000003</v>
      </c>
      <c r="H415" s="22">
        <f>H406</f>
        <v>3403.2289999999998</v>
      </c>
      <c r="I415" s="22">
        <f>L406</f>
        <v>1950.5</v>
      </c>
      <c r="J415" s="14">
        <f>M406</f>
        <v>14442.111764000001</v>
      </c>
      <c r="K415" s="22">
        <f>N406</f>
        <v>16351.838271999997</v>
      </c>
      <c r="L415" s="22"/>
      <c r="M415" s="14"/>
      <c r="N415" s="22"/>
      <c r="O415" s="14">
        <f t="shared" si="0"/>
        <v>32744.450035999998</v>
      </c>
      <c r="P415" s="14"/>
      <c r="Q415" s="22"/>
      <c r="R415" s="16"/>
    </row>
    <row r="416" spans="1:18" x14ac:dyDescent="0.2">
      <c r="A416" s="140" t="s">
        <v>259</v>
      </c>
      <c r="B416" s="140"/>
      <c r="C416" s="140"/>
      <c r="D416" s="140"/>
      <c r="E416" s="140"/>
      <c r="F416" s="140"/>
      <c r="G416" s="22">
        <f>SUM(G412:G413)</f>
        <v>114.80930000000001</v>
      </c>
      <c r="H416" s="22">
        <f>SUM(H412:H413)</f>
        <v>1203.4879999999998</v>
      </c>
      <c r="I416" s="22">
        <f>I413+I412</f>
        <v>536.13</v>
      </c>
      <c r="J416" s="22">
        <f>SUM(J412:J413)</f>
        <v>3902.7118400000004</v>
      </c>
      <c r="K416" s="22"/>
      <c r="L416" s="14">
        <f>SUM(L412:L413)</f>
        <v>633.35439999999994</v>
      </c>
      <c r="M416" s="14">
        <f>SUM(M412:M413)</f>
        <v>5997.342599999999</v>
      </c>
      <c r="N416" s="22"/>
      <c r="O416" s="22">
        <f>I416+J416</f>
        <v>4438.84184</v>
      </c>
      <c r="P416" s="14">
        <f>L416+M416</f>
        <v>6630.6969999999992</v>
      </c>
      <c r="Q416" s="22"/>
      <c r="R416" s="16"/>
    </row>
    <row r="417" spans="1:18" s="15" customFormat="1" x14ac:dyDescent="0.2">
      <c r="A417" s="140" t="s">
        <v>260</v>
      </c>
      <c r="B417" s="140"/>
      <c r="C417" s="140"/>
      <c r="D417" s="140"/>
      <c r="E417" s="140"/>
      <c r="F417" s="140"/>
      <c r="G417" s="22">
        <f>G415+G414</f>
        <v>519.93415000000005</v>
      </c>
      <c r="H417" s="22">
        <f t="shared" ref="H417:N417" si="3">H415+H414</f>
        <v>4797.8389999999999</v>
      </c>
      <c r="I417" s="22">
        <f t="shared" si="3"/>
        <v>2068.3820000000001</v>
      </c>
      <c r="J417" s="22">
        <f t="shared" si="3"/>
        <v>19028.807604000001</v>
      </c>
      <c r="K417" s="22">
        <f t="shared" si="3"/>
        <v>16351.838271999997</v>
      </c>
      <c r="L417" s="22">
        <f t="shared" si="3"/>
        <v>1117.2308800000001</v>
      </c>
      <c r="M417" s="22">
        <f t="shared" si="3"/>
        <v>24426.147539999994</v>
      </c>
      <c r="N417" s="22">
        <f t="shared" si="3"/>
        <v>1750.3050800000003</v>
      </c>
      <c r="O417" s="22">
        <f>I417+J417+K417</f>
        <v>37449.027876</v>
      </c>
      <c r="P417" s="14">
        <f>M417+L417</f>
        <v>25543.378419999994</v>
      </c>
      <c r="Q417" s="22">
        <f>N417</f>
        <v>1750.3050800000003</v>
      </c>
      <c r="R417" s="16"/>
    </row>
    <row r="418" spans="1:18" x14ac:dyDescent="0.2">
      <c r="R418" s="16"/>
    </row>
    <row r="419" spans="1:18" x14ac:dyDescent="0.2">
      <c r="R419" s="16"/>
    </row>
    <row r="423" spans="1:18" x14ac:dyDescent="0.2">
      <c r="D423" s="46"/>
      <c r="E423" s="17"/>
      <c r="I423" s="16"/>
      <c r="J423" s="16"/>
      <c r="K423" s="18"/>
      <c r="L423" s="19"/>
    </row>
  </sheetData>
  <mergeCells count="43">
    <mergeCell ref="A415:F415"/>
    <mergeCell ref="A417:F417"/>
    <mergeCell ref="A408:Q408"/>
    <mergeCell ref="I409:N409"/>
    <mergeCell ref="O409:Q409"/>
    <mergeCell ref="A416:F416"/>
    <mergeCell ref="A411:F411"/>
    <mergeCell ref="A414:F414"/>
    <mergeCell ref="A412:F412"/>
    <mergeCell ref="A413:F413"/>
    <mergeCell ref="A409:F410"/>
    <mergeCell ref="G409:H409"/>
    <mergeCell ref="A406:F406"/>
    <mergeCell ref="A120:Q120"/>
    <mergeCell ref="A90:Q90"/>
    <mergeCell ref="A2:Q2"/>
    <mergeCell ref="A347:Q347"/>
    <mergeCell ref="I91:Q91"/>
    <mergeCell ref="D91:H91"/>
    <mergeCell ref="A93:C93"/>
    <mergeCell ref="D349:H349"/>
    <mergeCell ref="I349:Q349"/>
    <mergeCell ref="A344:E344"/>
    <mergeCell ref="A123:B123"/>
    <mergeCell ref="A121:A122"/>
    <mergeCell ref="B121:B122"/>
    <mergeCell ref="C121:H121"/>
    <mergeCell ref="I121:Q121"/>
    <mergeCell ref="A117:F117"/>
    <mergeCell ref="I3:Q3"/>
    <mergeCell ref="A87:F87"/>
    <mergeCell ref="C3:H3"/>
    <mergeCell ref="B3:B4"/>
    <mergeCell ref="A3:A4"/>
    <mergeCell ref="C85:H85"/>
    <mergeCell ref="I85:Q85"/>
    <mergeCell ref="A86:F86"/>
    <mergeCell ref="A5:B5"/>
    <mergeCell ref="D351:E351"/>
    <mergeCell ref="D350:E350"/>
    <mergeCell ref="D352:E352"/>
    <mergeCell ref="D353:E353"/>
    <mergeCell ref="D354:E35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9"/>
  <sheetViews>
    <sheetView topLeftCell="A118" workbookViewId="0">
      <selection activeCell="R141" sqref="R141"/>
    </sheetView>
  </sheetViews>
  <sheetFormatPr defaultRowHeight="15" x14ac:dyDescent="0.25"/>
  <cols>
    <col min="2" max="2" width="30.28515625" customWidth="1"/>
    <col min="3" max="3" width="6.5703125" customWidth="1"/>
    <col min="4" max="4" width="6.7109375" customWidth="1"/>
    <col min="5" max="5" width="6.28515625" customWidth="1"/>
    <col min="6" max="6" width="5.85546875" customWidth="1"/>
    <col min="12" max="12" width="7.85546875" customWidth="1"/>
    <col min="13" max="13" width="7.140625" customWidth="1"/>
    <col min="14" max="14" width="7.85546875" customWidth="1"/>
    <col min="15" max="15" width="7.7109375" customWidth="1"/>
    <col min="16" max="16" width="10.28515625" customWidth="1"/>
    <col min="17" max="17" width="9" customWidth="1"/>
  </cols>
  <sheetData>
    <row r="1" spans="1:17" ht="26.25" x14ac:dyDescent="0.4">
      <c r="A1" s="162" t="s">
        <v>282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4"/>
    </row>
    <row r="2" spans="1:17" x14ac:dyDescent="0.25">
      <c r="A2" s="158" t="s">
        <v>0</v>
      </c>
      <c r="B2" s="158" t="s">
        <v>1</v>
      </c>
      <c r="C2" s="157" t="s">
        <v>133</v>
      </c>
      <c r="D2" s="157"/>
      <c r="E2" s="157"/>
      <c r="F2" s="157"/>
      <c r="G2" s="157"/>
      <c r="H2" s="157"/>
      <c r="I2" s="141" t="s">
        <v>75</v>
      </c>
      <c r="J2" s="141"/>
      <c r="K2" s="141"/>
      <c r="L2" s="141"/>
      <c r="M2" s="141"/>
      <c r="N2" s="141"/>
      <c r="O2" s="141"/>
      <c r="P2" s="141"/>
      <c r="Q2" s="141"/>
    </row>
    <row r="3" spans="1:17" x14ac:dyDescent="0.25">
      <c r="A3" s="159"/>
      <c r="B3" s="159"/>
      <c r="C3" s="9" t="s">
        <v>78</v>
      </c>
      <c r="D3" s="10" t="s">
        <v>73</v>
      </c>
      <c r="E3" s="10" t="s">
        <v>72</v>
      </c>
      <c r="F3" s="11" t="s">
        <v>74</v>
      </c>
      <c r="G3" s="10" t="s">
        <v>4</v>
      </c>
      <c r="H3" s="10" t="s">
        <v>58</v>
      </c>
      <c r="I3" s="12" t="s">
        <v>77</v>
      </c>
      <c r="J3" s="10" t="s">
        <v>80</v>
      </c>
      <c r="K3" s="13" t="s">
        <v>79</v>
      </c>
      <c r="L3" s="10" t="s">
        <v>6</v>
      </c>
      <c r="M3" s="10" t="s">
        <v>7</v>
      </c>
      <c r="N3" s="10" t="s">
        <v>8</v>
      </c>
      <c r="O3" s="10" t="s">
        <v>11</v>
      </c>
      <c r="P3" s="10" t="s">
        <v>14</v>
      </c>
      <c r="Q3" s="10" t="s">
        <v>12</v>
      </c>
    </row>
    <row r="4" spans="1:17" x14ac:dyDescent="0.25">
      <c r="A4" s="160"/>
      <c r="B4" s="161"/>
      <c r="C4" s="23"/>
      <c r="D4" s="22"/>
      <c r="E4" s="22"/>
      <c r="F4" s="22"/>
      <c r="G4" s="22"/>
      <c r="H4" s="22"/>
      <c r="I4" s="24"/>
      <c r="J4" s="14"/>
      <c r="K4" s="25"/>
      <c r="L4" s="14">
        <v>0.222</v>
      </c>
      <c r="M4" s="14">
        <v>0.39400000000000002</v>
      </c>
      <c r="N4" s="14">
        <v>0.61599999999999999</v>
      </c>
      <c r="O4" s="14">
        <v>1.208</v>
      </c>
      <c r="P4" s="14">
        <v>1.99</v>
      </c>
      <c r="Q4" s="14">
        <v>2.9830000000000001</v>
      </c>
    </row>
    <row r="5" spans="1:17" s="2" customFormat="1" x14ac:dyDescent="0.25">
      <c r="A5" s="26">
        <v>1</v>
      </c>
      <c r="B5" s="43" t="s">
        <v>276</v>
      </c>
      <c r="C5" s="27">
        <v>2</v>
      </c>
      <c r="D5" s="26">
        <v>6.45</v>
      </c>
      <c r="E5" s="26">
        <v>0.2</v>
      </c>
      <c r="F5" s="26">
        <v>0.5</v>
      </c>
      <c r="G5" s="26">
        <f>C5*D5*E5*(F5-0.12)</f>
        <v>0.98040000000000005</v>
      </c>
      <c r="H5" s="26">
        <f>C5*D5*(F5-0.12)*2</f>
        <v>9.8040000000000003</v>
      </c>
      <c r="I5" s="24">
        <v>1</v>
      </c>
      <c r="J5" s="14">
        <f>D5-0.05+0.8</f>
        <v>7.2</v>
      </c>
      <c r="K5" s="25">
        <v>2</v>
      </c>
      <c r="L5" s="22"/>
      <c r="M5" s="22"/>
      <c r="N5" s="22"/>
      <c r="O5" s="22"/>
      <c r="P5" s="14">
        <f>J5*P4*C5*K5</f>
        <v>57.311999999999998</v>
      </c>
      <c r="Q5" s="22"/>
    </row>
    <row r="6" spans="1:17" s="2" customFormat="1" x14ac:dyDescent="0.25">
      <c r="A6" s="28"/>
      <c r="B6" s="44"/>
      <c r="C6" s="29"/>
      <c r="D6" s="28"/>
      <c r="E6" s="28"/>
      <c r="F6" s="28"/>
      <c r="G6" s="28"/>
      <c r="H6" s="28"/>
      <c r="I6" s="24">
        <v>2</v>
      </c>
      <c r="J6" s="14">
        <f>D5-0.05+0.3</f>
        <v>6.7</v>
      </c>
      <c r="K6" s="25">
        <v>2</v>
      </c>
      <c r="L6" s="22"/>
      <c r="M6" s="22"/>
      <c r="N6" s="22"/>
      <c r="O6" s="22"/>
      <c r="P6" s="14">
        <f>J6*P4*C5*K6</f>
        <v>53.332000000000001</v>
      </c>
      <c r="Q6" s="22"/>
    </row>
    <row r="7" spans="1:17" s="2" customFormat="1" x14ac:dyDescent="0.25">
      <c r="A7" s="28"/>
      <c r="B7" s="44"/>
      <c r="C7" s="29"/>
      <c r="D7" s="28"/>
      <c r="E7" s="28"/>
      <c r="F7" s="28"/>
      <c r="G7" s="28"/>
      <c r="H7" s="28"/>
      <c r="I7" s="24">
        <v>3</v>
      </c>
      <c r="J7" s="14">
        <f>2.7+0.4</f>
        <v>3.1</v>
      </c>
      <c r="K7" s="25">
        <v>1</v>
      </c>
      <c r="L7" s="22"/>
      <c r="M7" s="22"/>
      <c r="N7" s="22"/>
      <c r="O7" s="22"/>
      <c r="P7" s="14">
        <f>K7*P4*J7*C5</f>
        <v>12.338000000000001</v>
      </c>
      <c r="Q7" s="22"/>
    </row>
    <row r="8" spans="1:17" s="2" customFormat="1" x14ac:dyDescent="0.25">
      <c r="A8" s="28"/>
      <c r="B8" s="44"/>
      <c r="C8" s="29"/>
      <c r="D8" s="28"/>
      <c r="E8" s="28"/>
      <c r="F8" s="28"/>
      <c r="G8" s="28"/>
      <c r="H8" s="28"/>
      <c r="I8" s="24">
        <v>5</v>
      </c>
      <c r="J8" s="14">
        <f>1.4+0.4</f>
        <v>1.7999999999999998</v>
      </c>
      <c r="K8" s="25">
        <v>1</v>
      </c>
      <c r="L8" s="22"/>
      <c r="M8" s="22"/>
      <c r="N8" s="22"/>
      <c r="O8" s="22"/>
      <c r="P8" s="14">
        <f>J8*K8*P4*C5</f>
        <v>7.1639999999999997</v>
      </c>
      <c r="Q8" s="22"/>
    </row>
    <row r="9" spans="1:17" x14ac:dyDescent="0.25">
      <c r="A9" s="120"/>
      <c r="B9" s="121"/>
      <c r="C9" s="122"/>
      <c r="D9" s="120"/>
      <c r="E9" s="120"/>
      <c r="F9" s="120"/>
      <c r="G9" s="28"/>
      <c r="H9" s="28"/>
      <c r="I9" s="24">
        <v>4</v>
      </c>
      <c r="J9" s="14">
        <v>3.05</v>
      </c>
      <c r="K9" s="25">
        <v>1</v>
      </c>
      <c r="L9" s="22"/>
      <c r="M9" s="22"/>
      <c r="N9" s="22"/>
      <c r="O9" s="22"/>
      <c r="P9" s="14">
        <f>P4*K9*J9*C5</f>
        <v>12.138999999999999</v>
      </c>
      <c r="Q9" s="22"/>
    </row>
    <row r="10" spans="1:17" s="2" customFormat="1" x14ac:dyDescent="0.25">
      <c r="A10" s="30"/>
      <c r="B10" s="45"/>
      <c r="C10" s="31"/>
      <c r="D10" s="30"/>
      <c r="E10" s="30"/>
      <c r="F10" s="30"/>
      <c r="G10" s="30"/>
      <c r="H10" s="30"/>
      <c r="I10" s="24" t="s">
        <v>139</v>
      </c>
      <c r="J10" s="14">
        <f>2*(0.15+0.45)+0.06</f>
        <v>1.26</v>
      </c>
      <c r="K10" s="25">
        <v>35</v>
      </c>
      <c r="L10" s="22"/>
      <c r="M10" s="14">
        <f>K10*J10*C5*M4</f>
        <v>34.750800000000005</v>
      </c>
      <c r="N10" s="14"/>
      <c r="O10" s="22"/>
      <c r="P10" s="14"/>
      <c r="Q10" s="22"/>
    </row>
    <row r="11" spans="1:17" s="2" customFormat="1" x14ac:dyDescent="0.25">
      <c r="A11" s="26">
        <v>2</v>
      </c>
      <c r="B11" s="43" t="s">
        <v>277</v>
      </c>
      <c r="C11" s="27">
        <v>2</v>
      </c>
      <c r="D11" s="26">
        <v>7.15</v>
      </c>
      <c r="E11" s="26">
        <v>0.2</v>
      </c>
      <c r="F11" s="26">
        <v>0.5</v>
      </c>
      <c r="G11" s="26">
        <f>C11*D11*E11*(F11-0.12)</f>
        <v>1.0868000000000002</v>
      </c>
      <c r="H11" s="26">
        <f>C11*D11*(F11-0.12)*2</f>
        <v>10.868</v>
      </c>
      <c r="I11" s="24">
        <v>1</v>
      </c>
      <c r="J11" s="14">
        <f>D11-0.05+0.8</f>
        <v>7.9</v>
      </c>
      <c r="K11" s="25">
        <v>2</v>
      </c>
      <c r="L11" s="22"/>
      <c r="M11" s="22"/>
      <c r="N11" s="22"/>
      <c r="O11" s="22"/>
      <c r="P11" s="14">
        <f>J11*P4*C11*K11</f>
        <v>62.884</v>
      </c>
      <c r="Q11" s="22"/>
    </row>
    <row r="12" spans="1:17" s="2" customFormat="1" x14ac:dyDescent="0.25">
      <c r="A12" s="28"/>
      <c r="B12" s="44"/>
      <c r="C12" s="29"/>
      <c r="D12" s="28"/>
      <c r="E12" s="28"/>
      <c r="F12" s="28"/>
      <c r="G12" s="28"/>
      <c r="H12" s="28"/>
      <c r="I12" s="24">
        <v>2</v>
      </c>
      <c r="J12" s="14">
        <f>D11-0.05+0.3</f>
        <v>7.4</v>
      </c>
      <c r="K12" s="25">
        <v>2</v>
      </c>
      <c r="L12" s="22"/>
      <c r="M12" s="22"/>
      <c r="N12" s="22"/>
      <c r="O12" s="22"/>
      <c r="P12" s="14">
        <f>J12*P4*C11*K12</f>
        <v>58.904000000000003</v>
      </c>
      <c r="Q12" s="22"/>
    </row>
    <row r="13" spans="1:17" s="2" customFormat="1" x14ac:dyDescent="0.25">
      <c r="A13" s="28"/>
      <c r="B13" s="44"/>
      <c r="C13" s="29"/>
      <c r="D13" s="28"/>
      <c r="E13" s="28"/>
      <c r="F13" s="28"/>
      <c r="G13" s="28"/>
      <c r="H13" s="28"/>
      <c r="I13" s="24">
        <v>3</v>
      </c>
      <c r="J13" s="14">
        <f>1.7+1.35</f>
        <v>3.05</v>
      </c>
      <c r="K13" s="25">
        <v>2</v>
      </c>
      <c r="L13" s="22"/>
      <c r="M13" s="22"/>
      <c r="N13" s="22"/>
      <c r="O13" s="22"/>
      <c r="P13" s="14">
        <f>K13*P4*J13*C11</f>
        <v>24.277999999999999</v>
      </c>
      <c r="Q13" s="22"/>
    </row>
    <row r="14" spans="1:17" s="2" customFormat="1" x14ac:dyDescent="0.25">
      <c r="A14" s="28"/>
      <c r="B14" s="44"/>
      <c r="C14" s="29"/>
      <c r="D14" s="28"/>
      <c r="E14" s="28"/>
      <c r="F14" s="28"/>
      <c r="G14" s="28"/>
      <c r="H14" s="28"/>
      <c r="I14" s="24">
        <v>4</v>
      </c>
      <c r="J14" s="14">
        <f>4.9-1.6</f>
        <v>3.3000000000000003</v>
      </c>
      <c r="K14" s="25">
        <v>1</v>
      </c>
      <c r="L14" s="22"/>
      <c r="M14" s="22"/>
      <c r="N14" s="22"/>
      <c r="O14" s="22"/>
      <c r="P14" s="14">
        <f>P4*K14*J14*C11</f>
        <v>13.134</v>
      </c>
      <c r="Q14" s="22"/>
    </row>
    <row r="15" spans="1:17" s="2" customFormat="1" x14ac:dyDescent="0.25">
      <c r="A15" s="30"/>
      <c r="B15" s="45"/>
      <c r="C15" s="31"/>
      <c r="D15" s="30"/>
      <c r="E15" s="30"/>
      <c r="F15" s="30"/>
      <c r="G15" s="30"/>
      <c r="H15" s="30"/>
      <c r="I15" s="24" t="s">
        <v>139</v>
      </c>
      <c r="J15" s="14">
        <f>2*(0.15+0.45)+0.06</f>
        <v>1.26</v>
      </c>
      <c r="K15" s="25">
        <v>35</v>
      </c>
      <c r="L15" s="22"/>
      <c r="M15" s="14">
        <f>K15*J15*C11*M4</f>
        <v>34.750800000000005</v>
      </c>
      <c r="N15" s="14"/>
      <c r="O15" s="22"/>
      <c r="P15" s="14"/>
      <c r="Q15" s="22"/>
    </row>
    <row r="16" spans="1:17" s="2" customFormat="1" x14ac:dyDescent="0.25">
      <c r="A16" s="26">
        <v>3</v>
      </c>
      <c r="B16" s="43" t="s">
        <v>278</v>
      </c>
      <c r="C16" s="27">
        <v>2</v>
      </c>
      <c r="D16" s="26">
        <v>10.6</v>
      </c>
      <c r="E16" s="26">
        <v>0.2</v>
      </c>
      <c r="F16" s="26">
        <v>0.5</v>
      </c>
      <c r="G16" s="26">
        <f>C16*D16*E16*(F16-0.12)</f>
        <v>1.6112000000000002</v>
      </c>
      <c r="H16" s="26">
        <f>C16*D16*(F16-0.12)*2</f>
        <v>16.111999999999998</v>
      </c>
      <c r="I16" s="24">
        <v>5</v>
      </c>
      <c r="J16" s="14">
        <f>8.6-0.05+0.8</f>
        <v>9.35</v>
      </c>
      <c r="K16" s="25">
        <v>2</v>
      </c>
      <c r="L16" s="22"/>
      <c r="M16" s="22"/>
      <c r="N16" s="22"/>
      <c r="O16" s="22"/>
      <c r="P16" s="14"/>
      <c r="Q16" s="14">
        <f>Q4*K16*J16*C16</f>
        <v>111.5642</v>
      </c>
    </row>
    <row r="17" spans="1:17" s="2" customFormat="1" x14ac:dyDescent="0.25">
      <c r="A17" s="28"/>
      <c r="B17" s="44"/>
      <c r="C17" s="29"/>
      <c r="D17" s="28"/>
      <c r="E17" s="28"/>
      <c r="F17" s="28"/>
      <c r="G17" s="28"/>
      <c r="H17" s="28"/>
      <c r="I17" s="24">
        <v>4</v>
      </c>
      <c r="J17" s="14">
        <f>8.6-0.05+0.3</f>
        <v>8.85</v>
      </c>
      <c r="K17" s="25">
        <v>2</v>
      </c>
      <c r="L17" s="22"/>
      <c r="M17" s="22"/>
      <c r="N17" s="22"/>
      <c r="O17" s="22"/>
      <c r="P17" s="14"/>
      <c r="Q17" s="14">
        <f>Q4*K17*J17*C16</f>
        <v>105.59820000000001</v>
      </c>
    </row>
    <row r="18" spans="1:17" s="2" customFormat="1" x14ac:dyDescent="0.25">
      <c r="A18" s="28"/>
      <c r="B18" s="44"/>
      <c r="C18" s="29"/>
      <c r="D18" s="28"/>
      <c r="E18" s="28"/>
      <c r="F18" s="28"/>
      <c r="G18" s="28"/>
      <c r="H18" s="28"/>
      <c r="I18" s="24">
        <v>1</v>
      </c>
      <c r="J18" s="14">
        <f>2+0.4+0.7</f>
        <v>3.0999999999999996</v>
      </c>
      <c r="K18" s="25">
        <v>2</v>
      </c>
      <c r="L18" s="22"/>
      <c r="M18" s="22"/>
      <c r="N18" s="22"/>
      <c r="O18" s="22"/>
      <c r="P18" s="14">
        <f>K18*P4*J18*C16</f>
        <v>24.675999999999998</v>
      </c>
      <c r="Q18" s="22"/>
    </row>
    <row r="19" spans="1:17" s="2" customFormat="1" x14ac:dyDescent="0.25">
      <c r="A19" s="28"/>
      <c r="B19" s="44"/>
      <c r="C19" s="29"/>
      <c r="D19" s="28"/>
      <c r="E19" s="28"/>
      <c r="F19" s="28"/>
      <c r="G19" s="28"/>
      <c r="H19" s="28"/>
      <c r="I19" s="24">
        <v>2</v>
      </c>
      <c r="J19" s="14">
        <f>J18-0.15</f>
        <v>2.9499999999999997</v>
      </c>
      <c r="K19" s="25">
        <v>2</v>
      </c>
      <c r="L19" s="22"/>
      <c r="M19" s="22"/>
      <c r="N19" s="22"/>
      <c r="O19" s="22"/>
      <c r="P19" s="14">
        <f>K19*P4*J19*C16</f>
        <v>23.481999999999999</v>
      </c>
      <c r="Q19" s="22"/>
    </row>
    <row r="20" spans="1:17" s="2" customFormat="1" x14ac:dyDescent="0.25">
      <c r="A20" s="28"/>
      <c r="B20" s="44"/>
      <c r="C20" s="29"/>
      <c r="D20" s="28"/>
      <c r="E20" s="28"/>
      <c r="F20" s="28"/>
      <c r="G20" s="28"/>
      <c r="H20" s="28"/>
      <c r="I20" s="24">
        <v>3</v>
      </c>
      <c r="J20" s="14">
        <v>2.65</v>
      </c>
      <c r="K20" s="25">
        <v>1</v>
      </c>
      <c r="L20" s="22"/>
      <c r="M20" s="22"/>
      <c r="N20" s="22"/>
      <c r="O20" s="22"/>
      <c r="P20" s="14">
        <f>K20*P4*J20*C16</f>
        <v>10.546999999999999</v>
      </c>
      <c r="Q20" s="22"/>
    </row>
    <row r="21" spans="1:17" s="2" customFormat="1" x14ac:dyDescent="0.25">
      <c r="A21" s="28"/>
      <c r="B21" s="44"/>
      <c r="C21" s="29"/>
      <c r="D21" s="28"/>
      <c r="E21" s="28"/>
      <c r="F21" s="28"/>
      <c r="G21" s="28"/>
      <c r="H21" s="28"/>
      <c r="I21" s="24">
        <v>6</v>
      </c>
      <c r="J21" s="14">
        <v>7.25</v>
      </c>
      <c r="K21" s="25">
        <v>1</v>
      </c>
      <c r="L21" s="22"/>
      <c r="M21" s="22"/>
      <c r="N21" s="22"/>
      <c r="O21" s="22"/>
      <c r="P21" s="14"/>
      <c r="Q21" s="14">
        <f>Q4*K21*J21*C16</f>
        <v>43.253500000000003</v>
      </c>
    </row>
    <row r="22" spans="1:17" s="2" customFormat="1" x14ac:dyDescent="0.25">
      <c r="A22" s="30"/>
      <c r="B22" s="45"/>
      <c r="C22" s="31"/>
      <c r="D22" s="30"/>
      <c r="E22" s="30"/>
      <c r="F22" s="30"/>
      <c r="G22" s="30"/>
      <c r="H22" s="30"/>
      <c r="I22" s="24" t="s">
        <v>139</v>
      </c>
      <c r="J22" s="14">
        <f>2*(0.15+0.45)+0.06</f>
        <v>1.26</v>
      </c>
      <c r="K22" s="25">
        <v>50</v>
      </c>
      <c r="L22" s="22"/>
      <c r="M22" s="14">
        <f>K22*J22*C16*M4</f>
        <v>49.644000000000005</v>
      </c>
      <c r="N22" s="14"/>
      <c r="O22" s="22"/>
      <c r="P22" s="14"/>
      <c r="Q22" s="22"/>
    </row>
    <row r="23" spans="1:17" s="2" customFormat="1" x14ac:dyDescent="0.25">
      <c r="A23" s="26">
        <v>4</v>
      </c>
      <c r="B23" s="43" t="s">
        <v>279</v>
      </c>
      <c r="C23" s="27">
        <v>1</v>
      </c>
      <c r="D23" s="26">
        <v>22.5</v>
      </c>
      <c r="E23" s="26">
        <v>0.2</v>
      </c>
      <c r="F23" s="26">
        <v>0.5</v>
      </c>
      <c r="G23" s="26">
        <f>C23*D23*E23*(F23-0.12)</f>
        <v>1.71</v>
      </c>
      <c r="H23" s="26">
        <f>C23*D23*(F23-0.12)*2</f>
        <v>17.100000000000001</v>
      </c>
      <c r="I23" s="24">
        <v>1</v>
      </c>
      <c r="J23" s="14">
        <f>D23-0.05+0.8</f>
        <v>23.25</v>
      </c>
      <c r="K23" s="25">
        <v>2</v>
      </c>
      <c r="L23" s="22"/>
      <c r="M23" s="22"/>
      <c r="N23" s="22"/>
      <c r="O23" s="22"/>
      <c r="P23" s="14">
        <f>P4*K23*J23*C23</f>
        <v>92.534999999999997</v>
      </c>
      <c r="Q23" s="14"/>
    </row>
    <row r="24" spans="1:17" s="2" customFormat="1" x14ac:dyDescent="0.25">
      <c r="A24" s="28"/>
      <c r="B24" s="44"/>
      <c r="C24" s="29"/>
      <c r="D24" s="28"/>
      <c r="E24" s="28"/>
      <c r="F24" s="28"/>
      <c r="G24" s="28"/>
      <c r="H24" s="28"/>
      <c r="I24" s="24">
        <v>2</v>
      </c>
      <c r="J24" s="14">
        <f>D23-0.05+0.3</f>
        <v>22.75</v>
      </c>
      <c r="K24" s="25">
        <v>2</v>
      </c>
      <c r="L24" s="22"/>
      <c r="M24" s="22"/>
      <c r="N24" s="22"/>
      <c r="O24" s="22"/>
      <c r="P24" s="14">
        <f>P4*K24*J24*C23</f>
        <v>90.545000000000002</v>
      </c>
      <c r="Q24" s="14"/>
    </row>
    <row r="25" spans="1:17" s="2" customFormat="1" x14ac:dyDescent="0.25">
      <c r="A25" s="28"/>
      <c r="B25" s="44"/>
      <c r="C25" s="29"/>
      <c r="D25" s="28"/>
      <c r="E25" s="28"/>
      <c r="F25" s="28"/>
      <c r="G25" s="28"/>
      <c r="H25" s="28"/>
      <c r="I25" s="24">
        <v>3</v>
      </c>
      <c r="J25" s="14">
        <v>3</v>
      </c>
      <c r="K25" s="25">
        <v>1</v>
      </c>
      <c r="L25" s="22"/>
      <c r="M25" s="22"/>
      <c r="N25" s="22"/>
      <c r="O25" s="22"/>
      <c r="P25" s="14">
        <f>K25*P4*J25*C23</f>
        <v>5.97</v>
      </c>
      <c r="Q25" s="22"/>
    </row>
    <row r="26" spans="1:17" s="2" customFormat="1" x14ac:dyDescent="0.25">
      <c r="A26" s="28"/>
      <c r="B26" s="44"/>
      <c r="C26" s="29"/>
      <c r="D26" s="28"/>
      <c r="E26" s="28"/>
      <c r="F26" s="28"/>
      <c r="G26" s="28"/>
      <c r="H26" s="28"/>
      <c r="I26" s="24">
        <v>5</v>
      </c>
      <c r="J26" s="14">
        <v>3</v>
      </c>
      <c r="K26" s="25">
        <v>2</v>
      </c>
      <c r="L26" s="22"/>
      <c r="M26" s="22"/>
      <c r="N26" s="22"/>
      <c r="O26" s="22"/>
      <c r="P26" s="14">
        <f>K26*P4*J26*C23</f>
        <v>11.94</v>
      </c>
      <c r="Q26" s="22"/>
    </row>
    <row r="27" spans="1:17" s="2" customFormat="1" x14ac:dyDescent="0.25">
      <c r="A27" s="28"/>
      <c r="B27" s="44"/>
      <c r="C27" s="29"/>
      <c r="D27" s="28"/>
      <c r="E27" s="28"/>
      <c r="F27" s="28"/>
      <c r="G27" s="28"/>
      <c r="H27" s="28"/>
      <c r="I27" s="24" t="s">
        <v>150</v>
      </c>
      <c r="J27" s="14">
        <f>4.65*2</f>
        <v>9.3000000000000007</v>
      </c>
      <c r="K27" s="25">
        <v>1</v>
      </c>
      <c r="L27" s="22"/>
      <c r="M27" s="22"/>
      <c r="N27" s="22"/>
      <c r="O27" s="22"/>
      <c r="P27" s="14">
        <f>K27*P8*J27*C23</f>
        <v>66.625200000000007</v>
      </c>
      <c r="Q27" s="22"/>
    </row>
    <row r="28" spans="1:17" s="2" customFormat="1" x14ac:dyDescent="0.25">
      <c r="A28" s="30"/>
      <c r="B28" s="45"/>
      <c r="C28" s="31"/>
      <c r="D28" s="30"/>
      <c r="E28" s="30"/>
      <c r="F28" s="30"/>
      <c r="G28" s="30"/>
      <c r="H28" s="30"/>
      <c r="I28" s="24" t="s">
        <v>139</v>
      </c>
      <c r="J28" s="14">
        <f>2*(0.15+0.45)+0.06</f>
        <v>1.26</v>
      </c>
      <c r="K28" s="25">
        <v>100</v>
      </c>
      <c r="L28" s="22"/>
      <c r="M28" s="14">
        <f>K28*J28*C23*M4</f>
        <v>49.644000000000005</v>
      </c>
      <c r="N28" s="14"/>
      <c r="O28" s="22"/>
      <c r="P28" s="14"/>
      <c r="Q28" s="22"/>
    </row>
    <row r="29" spans="1:17" s="2" customFormat="1" x14ac:dyDescent="0.25">
      <c r="A29" s="26">
        <v>5</v>
      </c>
      <c r="B29" s="43" t="s">
        <v>279</v>
      </c>
      <c r="C29" s="27">
        <v>1</v>
      </c>
      <c r="D29" s="26">
        <v>54</v>
      </c>
      <c r="E29" s="26">
        <v>0.2</v>
      </c>
      <c r="F29" s="26">
        <v>0.5</v>
      </c>
      <c r="G29" s="26">
        <f>C29*D29*E29*(F29-0.12)</f>
        <v>4.1040000000000001</v>
      </c>
      <c r="H29" s="26">
        <f>C29*D29*(F29-0.12)*2</f>
        <v>41.04</v>
      </c>
      <c r="I29" s="24">
        <v>1</v>
      </c>
      <c r="J29" s="14">
        <f>D29-0.05</f>
        <v>53.95</v>
      </c>
      <c r="K29" s="25">
        <v>1</v>
      </c>
      <c r="L29" s="22"/>
      <c r="M29" s="22"/>
      <c r="N29" s="22"/>
      <c r="O29" s="22">
        <f>O4*J29*K29</f>
        <v>65.171599999999998</v>
      </c>
      <c r="P29" s="14"/>
      <c r="Q29" s="14"/>
    </row>
    <row r="30" spans="1:17" s="2" customFormat="1" x14ac:dyDescent="0.25">
      <c r="A30" s="28"/>
      <c r="B30" s="44"/>
      <c r="C30" s="29"/>
      <c r="D30" s="28"/>
      <c r="E30" s="28"/>
      <c r="F30" s="28"/>
      <c r="G30" s="28"/>
      <c r="H30" s="28"/>
      <c r="I30" s="24">
        <v>2</v>
      </c>
      <c r="J30" s="14">
        <f>J29</f>
        <v>53.95</v>
      </c>
      <c r="K30" s="25">
        <v>1</v>
      </c>
      <c r="L30" s="22"/>
      <c r="M30" s="22"/>
      <c r="N30" s="22"/>
      <c r="O30" s="22">
        <f>O29</f>
        <v>65.171599999999998</v>
      </c>
      <c r="P30" s="14"/>
      <c r="Q30" s="14"/>
    </row>
    <row r="31" spans="1:17" s="2" customFormat="1" x14ac:dyDescent="0.25">
      <c r="A31" s="30"/>
      <c r="B31" s="45"/>
      <c r="C31" s="31"/>
      <c r="D31" s="30"/>
      <c r="E31" s="30"/>
      <c r="F31" s="30"/>
      <c r="G31" s="30"/>
      <c r="H31" s="30"/>
      <c r="I31" s="24" t="s">
        <v>139</v>
      </c>
      <c r="J31" s="14">
        <v>0.45</v>
      </c>
      <c r="K31" s="25">
        <v>220</v>
      </c>
      <c r="L31" s="14">
        <f>L4*K31*J31</f>
        <v>21.978000000000002</v>
      </c>
      <c r="M31" s="14"/>
      <c r="N31" s="14"/>
      <c r="O31" s="22"/>
      <c r="P31" s="14"/>
      <c r="Q31" s="22"/>
    </row>
    <row r="32" spans="1:17" s="2" customFormat="1" x14ac:dyDescent="0.25">
      <c r="A32" s="26">
        <v>6</v>
      </c>
      <c r="B32" s="43" t="s">
        <v>281</v>
      </c>
      <c r="C32" s="27">
        <v>1</v>
      </c>
      <c r="D32" s="166">
        <v>160.69</v>
      </c>
      <c r="E32" s="168"/>
      <c r="F32" s="26">
        <v>0.12</v>
      </c>
      <c r="G32" s="26">
        <f>D32*F32</f>
        <v>19.282799999999998</v>
      </c>
      <c r="H32" s="26">
        <f>D32+2*(25+7)*0.12</f>
        <v>168.37</v>
      </c>
      <c r="I32" s="24">
        <v>1</v>
      </c>
      <c r="J32" s="14">
        <v>1.55</v>
      </c>
      <c r="K32" s="25">
        <v>69</v>
      </c>
      <c r="L32" s="14"/>
      <c r="M32" s="14"/>
      <c r="N32" s="14">
        <f>J32*K32*C32*N4</f>
        <v>65.881200000000007</v>
      </c>
      <c r="O32" s="22"/>
      <c r="P32" s="14"/>
      <c r="Q32" s="22"/>
    </row>
    <row r="33" spans="1:17" s="2" customFormat="1" x14ac:dyDescent="0.25">
      <c r="A33" s="28"/>
      <c r="B33" s="44"/>
      <c r="C33" s="29"/>
      <c r="D33" s="28"/>
      <c r="E33" s="28"/>
      <c r="F33" s="28"/>
      <c r="G33" s="28"/>
      <c r="H33" s="28"/>
      <c r="I33" s="24">
        <v>2</v>
      </c>
      <c r="J33" s="14">
        <v>5.9</v>
      </c>
      <c r="K33" s="25">
        <v>35</v>
      </c>
      <c r="L33" s="14"/>
      <c r="M33" s="14"/>
      <c r="N33" s="14">
        <f>J33*K33*C32*N4</f>
        <v>127.20399999999999</v>
      </c>
      <c r="O33" s="22"/>
      <c r="P33" s="14"/>
      <c r="Q33" s="22"/>
    </row>
    <row r="34" spans="1:17" s="2" customFormat="1" x14ac:dyDescent="0.25">
      <c r="A34" s="28"/>
      <c r="B34" s="44"/>
      <c r="C34" s="29"/>
      <c r="D34" s="28"/>
      <c r="E34" s="28"/>
      <c r="F34" s="28"/>
      <c r="G34" s="28"/>
      <c r="H34" s="28"/>
      <c r="I34" s="24">
        <v>3</v>
      </c>
      <c r="J34" s="14">
        <v>2.8</v>
      </c>
      <c r="K34" s="25">
        <v>69</v>
      </c>
      <c r="L34" s="14"/>
      <c r="M34" s="14"/>
      <c r="N34" s="14">
        <f>J34*K34*C32*N4</f>
        <v>119.01119999999999</v>
      </c>
      <c r="O34" s="22"/>
      <c r="P34" s="14"/>
      <c r="Q34" s="22"/>
    </row>
    <row r="35" spans="1:17" s="2" customFormat="1" x14ac:dyDescent="0.25">
      <c r="A35" s="28"/>
      <c r="B35" s="44"/>
      <c r="C35" s="29"/>
      <c r="D35" s="28"/>
      <c r="E35" s="28"/>
      <c r="F35" s="28"/>
      <c r="G35" s="28"/>
      <c r="H35" s="28"/>
      <c r="I35" s="24">
        <v>4</v>
      </c>
      <c r="J35" s="14">
        <v>7.2</v>
      </c>
      <c r="K35" s="25">
        <v>30</v>
      </c>
      <c r="L35" s="14"/>
      <c r="M35" s="14"/>
      <c r="N35" s="14">
        <f>J35*K35*C32*N4</f>
        <v>133.05600000000001</v>
      </c>
      <c r="O35" s="22"/>
      <c r="P35" s="14"/>
      <c r="Q35" s="22"/>
    </row>
    <row r="36" spans="1:17" s="2" customFormat="1" x14ac:dyDescent="0.25">
      <c r="A36" s="28"/>
      <c r="B36" s="44"/>
      <c r="C36" s="29"/>
      <c r="D36" s="28"/>
      <c r="E36" s="28"/>
      <c r="F36" s="28"/>
      <c r="G36" s="28"/>
      <c r="H36" s="28"/>
      <c r="I36" s="24">
        <v>5</v>
      </c>
      <c r="J36" s="14">
        <v>2.8</v>
      </c>
      <c r="K36" s="25">
        <v>64</v>
      </c>
      <c r="L36" s="14"/>
      <c r="M36" s="14"/>
      <c r="N36" s="14">
        <f>J36*K36*C32*N4</f>
        <v>110.38719999999999</v>
      </c>
      <c r="O36" s="22"/>
      <c r="P36" s="14"/>
      <c r="Q36" s="22"/>
    </row>
    <row r="37" spans="1:17" s="2" customFormat="1" x14ac:dyDescent="0.25">
      <c r="A37" s="28"/>
      <c r="B37" s="44"/>
      <c r="C37" s="29"/>
      <c r="D37" s="28"/>
      <c r="E37" s="28"/>
      <c r="F37" s="28"/>
      <c r="G37" s="28"/>
      <c r="H37" s="28"/>
      <c r="I37" s="24">
        <v>6</v>
      </c>
      <c r="J37" s="14">
        <v>6.5</v>
      </c>
      <c r="K37" s="25">
        <v>41</v>
      </c>
      <c r="L37" s="14"/>
      <c r="M37" s="14"/>
      <c r="N37" s="14">
        <f>J37*K37*C32*N4</f>
        <v>164.16399999999999</v>
      </c>
      <c r="O37" s="22"/>
      <c r="P37" s="14"/>
      <c r="Q37" s="22"/>
    </row>
    <row r="38" spans="1:17" s="2" customFormat="1" x14ac:dyDescent="0.25">
      <c r="A38" s="28"/>
      <c r="B38" s="44"/>
      <c r="C38" s="29"/>
      <c r="D38" s="28"/>
      <c r="E38" s="28"/>
      <c r="F38" s="28"/>
      <c r="G38" s="28"/>
      <c r="H38" s="28"/>
      <c r="I38" s="24">
        <v>7</v>
      </c>
      <c r="J38" s="14">
        <v>2.0499999999999998</v>
      </c>
      <c r="K38" s="25">
        <v>95</v>
      </c>
      <c r="L38" s="14"/>
      <c r="M38" s="14"/>
      <c r="N38" s="14">
        <f>J38*K38*C32*N4</f>
        <v>119.96599999999998</v>
      </c>
      <c r="O38" s="22"/>
      <c r="P38" s="14"/>
      <c r="Q38" s="22"/>
    </row>
    <row r="39" spans="1:17" s="2" customFormat="1" x14ac:dyDescent="0.25">
      <c r="A39" s="28"/>
      <c r="B39" s="44"/>
      <c r="C39" s="29"/>
      <c r="D39" s="28"/>
      <c r="E39" s="28"/>
      <c r="F39" s="28"/>
      <c r="G39" s="28"/>
      <c r="H39" s="28"/>
      <c r="I39" s="24">
        <v>8</v>
      </c>
      <c r="J39" s="14">
        <v>8</v>
      </c>
      <c r="K39" s="25">
        <v>60</v>
      </c>
      <c r="L39" s="14"/>
      <c r="M39" s="14"/>
      <c r="N39" s="14">
        <f>J39*K39*C32*N4</f>
        <v>295.68</v>
      </c>
      <c r="O39" s="22"/>
      <c r="P39" s="14"/>
      <c r="Q39" s="22"/>
    </row>
    <row r="40" spans="1:17" s="2" customFormat="1" x14ac:dyDescent="0.25">
      <c r="A40" s="30"/>
      <c r="B40" s="45"/>
      <c r="C40" s="31"/>
      <c r="D40" s="30"/>
      <c r="E40" s="30"/>
      <c r="F40" s="30"/>
      <c r="G40" s="30"/>
      <c r="H40" s="30"/>
      <c r="I40" s="24">
        <v>9</v>
      </c>
      <c r="J40" s="14">
        <v>2.8</v>
      </c>
      <c r="K40" s="25">
        <v>140</v>
      </c>
      <c r="L40" s="14"/>
      <c r="M40" s="14"/>
      <c r="N40" s="14">
        <f>J40*K40*C32*N4</f>
        <v>241.47200000000001</v>
      </c>
      <c r="O40" s="22"/>
      <c r="P40" s="14"/>
      <c r="Q40" s="22"/>
    </row>
    <row r="41" spans="1:17" x14ac:dyDescent="0.25">
      <c r="A41" s="142" t="s">
        <v>280</v>
      </c>
      <c r="B41" s="142"/>
      <c r="C41" s="142"/>
      <c r="D41" s="142"/>
      <c r="E41" s="142"/>
      <c r="F41" s="22"/>
      <c r="G41" s="22">
        <f>SUM(G5:G34)</f>
        <v>28.775199999999998</v>
      </c>
      <c r="H41" s="22">
        <f>SUM(H5:H37)</f>
        <v>263.29399999999998</v>
      </c>
      <c r="I41" s="24"/>
      <c r="J41" s="14"/>
      <c r="K41" s="25"/>
      <c r="L41" s="14">
        <f>SUM(L31)</f>
        <v>21.978000000000002</v>
      </c>
      <c r="M41" s="22">
        <f>SUM(M6:M31)</f>
        <v>168.78960000000001</v>
      </c>
      <c r="N41" s="14">
        <f>SUM(N32:N40)</f>
        <v>1376.8216</v>
      </c>
      <c r="O41" s="22">
        <f>SUM(O29:O31)</f>
        <v>130.3432</v>
      </c>
      <c r="P41" s="14">
        <f>SUM(P5:P29)</f>
        <v>627.80520000000001</v>
      </c>
      <c r="Q41" s="22">
        <f>SUM(Q8:Q31)</f>
        <v>260.41589999999997</v>
      </c>
    </row>
    <row r="42" spans="1:17" x14ac:dyDescent="0.25">
      <c r="A42" s="71"/>
      <c r="B42" s="71"/>
      <c r="C42" s="71"/>
      <c r="D42" s="71"/>
      <c r="E42" s="71"/>
      <c r="F42" s="16"/>
      <c r="G42" s="16"/>
      <c r="H42" s="16"/>
      <c r="I42" s="18"/>
      <c r="J42" s="19"/>
      <c r="K42" s="20"/>
      <c r="L42" s="16"/>
      <c r="M42" s="16"/>
      <c r="N42" s="16"/>
      <c r="O42" s="16"/>
      <c r="P42" s="19"/>
      <c r="Q42" s="16"/>
    </row>
    <row r="43" spans="1:17" x14ac:dyDescent="0.25">
      <c r="A43" s="71"/>
      <c r="B43" s="71"/>
      <c r="C43" s="71"/>
      <c r="D43" s="71"/>
      <c r="E43" s="71"/>
      <c r="F43" s="16"/>
      <c r="G43" s="16"/>
      <c r="H43" s="16"/>
      <c r="I43" s="18"/>
      <c r="J43" s="19"/>
      <c r="K43" s="20"/>
      <c r="L43" s="16"/>
      <c r="M43" s="16"/>
      <c r="N43" s="16"/>
      <c r="O43" s="16"/>
      <c r="P43" s="19"/>
      <c r="Q43" s="16"/>
    </row>
    <row r="44" spans="1:17" ht="26.25" x14ac:dyDescent="0.4">
      <c r="A44" s="162" t="s">
        <v>283</v>
      </c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4"/>
    </row>
    <row r="45" spans="1:17" x14ac:dyDescent="0.25">
      <c r="A45" s="158" t="s">
        <v>0</v>
      </c>
      <c r="B45" s="158" t="s">
        <v>1</v>
      </c>
      <c r="C45" s="157" t="s">
        <v>133</v>
      </c>
      <c r="D45" s="157"/>
      <c r="E45" s="157"/>
      <c r="F45" s="157"/>
      <c r="G45" s="157"/>
      <c r="H45" s="157"/>
      <c r="I45" s="141" t="s">
        <v>75</v>
      </c>
      <c r="J45" s="141"/>
      <c r="K45" s="141"/>
      <c r="L45" s="141"/>
      <c r="M45" s="141"/>
      <c r="N45" s="141"/>
      <c r="O45" s="141"/>
      <c r="P45" s="141"/>
      <c r="Q45" s="141"/>
    </row>
    <row r="46" spans="1:17" x14ac:dyDescent="0.25">
      <c r="A46" s="159"/>
      <c r="B46" s="159"/>
      <c r="C46" s="9" t="s">
        <v>78</v>
      </c>
      <c r="D46" s="10" t="s">
        <v>73</v>
      </c>
      <c r="E46" s="10" t="s">
        <v>72</v>
      </c>
      <c r="F46" s="11" t="s">
        <v>74</v>
      </c>
      <c r="G46" s="10" t="s">
        <v>4</v>
      </c>
      <c r="H46" s="10" t="s">
        <v>58</v>
      </c>
      <c r="I46" s="12" t="s">
        <v>77</v>
      </c>
      <c r="J46" s="10" t="s">
        <v>80</v>
      </c>
      <c r="K46" s="13" t="s">
        <v>79</v>
      </c>
      <c r="L46" s="10" t="s">
        <v>6</v>
      </c>
      <c r="M46" s="10" t="s">
        <v>7</v>
      </c>
      <c r="N46" s="10" t="s">
        <v>8</v>
      </c>
      <c r="O46" s="10" t="s">
        <v>9</v>
      </c>
      <c r="P46" s="10" t="s">
        <v>14</v>
      </c>
      <c r="Q46" s="10" t="s">
        <v>12</v>
      </c>
    </row>
    <row r="47" spans="1:17" x14ac:dyDescent="0.25">
      <c r="A47" s="160"/>
      <c r="B47" s="161"/>
      <c r="C47" s="23"/>
      <c r="D47" s="22"/>
      <c r="E47" s="22"/>
      <c r="F47" s="22"/>
      <c r="G47" s="22"/>
      <c r="H47" s="22"/>
      <c r="I47" s="24"/>
      <c r="J47" s="14"/>
      <c r="K47" s="25"/>
      <c r="L47" s="14">
        <v>0.222</v>
      </c>
      <c r="M47" s="14">
        <v>0.39400000000000002</v>
      </c>
      <c r="N47" s="14">
        <v>0.61599999999999999</v>
      </c>
      <c r="O47" s="14">
        <v>0.88700000000000001</v>
      </c>
      <c r="P47" s="14">
        <v>1.99</v>
      </c>
      <c r="Q47" s="14">
        <v>2.9830000000000001</v>
      </c>
    </row>
    <row r="48" spans="1:17" x14ac:dyDescent="0.25">
      <c r="A48" s="26">
        <v>1</v>
      </c>
      <c r="B48" s="43" t="s">
        <v>286</v>
      </c>
      <c r="C48" s="27">
        <v>2</v>
      </c>
      <c r="D48" s="26">
        <v>5.57</v>
      </c>
      <c r="E48" s="26">
        <v>0.2</v>
      </c>
      <c r="F48" s="26">
        <v>0.5</v>
      </c>
      <c r="G48" s="26">
        <f>C48*D48*E48*(F48-0.15)</f>
        <v>0.77980000000000005</v>
      </c>
      <c r="H48" s="26">
        <f>C48*D48*(F48-0.15)*2</f>
        <v>7.798</v>
      </c>
      <c r="I48" s="24">
        <v>1</v>
      </c>
      <c r="J48" s="14">
        <f>D48-0.05+0.8</f>
        <v>6.32</v>
      </c>
      <c r="K48" s="25">
        <v>2</v>
      </c>
      <c r="L48" s="22"/>
      <c r="M48" s="22"/>
      <c r="N48" s="22"/>
      <c r="O48" s="22"/>
      <c r="P48" s="14">
        <f>J48*P47*C48*K48</f>
        <v>50.307200000000002</v>
      </c>
      <c r="Q48" s="22"/>
    </row>
    <row r="49" spans="1:17" x14ac:dyDescent="0.25">
      <c r="A49" s="28"/>
      <c r="B49" s="44"/>
      <c r="C49" s="29"/>
      <c r="D49" s="28"/>
      <c r="E49" s="28"/>
      <c r="F49" s="28"/>
      <c r="G49" s="28"/>
      <c r="H49" s="28"/>
      <c r="I49" s="24">
        <v>2</v>
      </c>
      <c r="J49" s="14">
        <f>D48-0.05+0.3</f>
        <v>5.82</v>
      </c>
      <c r="K49" s="25">
        <v>2</v>
      </c>
      <c r="L49" s="22"/>
      <c r="M49" s="22"/>
      <c r="N49" s="22"/>
      <c r="O49" s="22"/>
      <c r="P49" s="14">
        <f>J49*P47*C48*K49</f>
        <v>46.327200000000005</v>
      </c>
      <c r="Q49" s="22"/>
    </row>
    <row r="50" spans="1:17" x14ac:dyDescent="0.25">
      <c r="A50" s="28"/>
      <c r="B50" s="44"/>
      <c r="C50" s="29"/>
      <c r="D50" s="28"/>
      <c r="E50" s="28"/>
      <c r="F50" s="28"/>
      <c r="G50" s="28"/>
      <c r="H50" s="28"/>
      <c r="I50" s="24">
        <v>3</v>
      </c>
      <c r="J50" s="14">
        <f>2*(1.45+0.4)</f>
        <v>3.7</v>
      </c>
      <c r="K50" s="25">
        <v>1</v>
      </c>
      <c r="L50" s="22"/>
      <c r="M50" s="22"/>
      <c r="N50" s="22"/>
      <c r="O50" s="22"/>
      <c r="P50" s="14">
        <f>K50*P47*J50*C48</f>
        <v>14.726000000000001</v>
      </c>
      <c r="Q50" s="22"/>
    </row>
    <row r="51" spans="1:17" x14ac:dyDescent="0.25">
      <c r="A51" s="28"/>
      <c r="B51" s="44"/>
      <c r="C51" s="29"/>
      <c r="D51" s="28"/>
      <c r="E51" s="28"/>
      <c r="F51" s="28"/>
      <c r="G51" s="28"/>
      <c r="H51" s="28"/>
      <c r="I51" s="24">
        <v>4</v>
      </c>
      <c r="J51" s="14">
        <v>3.4</v>
      </c>
      <c r="K51" s="25">
        <v>1</v>
      </c>
      <c r="L51" s="22"/>
      <c r="M51" s="22"/>
      <c r="N51" s="22"/>
      <c r="O51" s="22"/>
      <c r="P51" s="14">
        <f>J51*K51*P47*C48</f>
        <v>13.532</v>
      </c>
      <c r="Q51" s="22"/>
    </row>
    <row r="52" spans="1:17" x14ac:dyDescent="0.25">
      <c r="A52" s="30"/>
      <c r="B52" s="45"/>
      <c r="C52" s="31"/>
      <c r="D52" s="30"/>
      <c r="E52" s="30"/>
      <c r="F52" s="30"/>
      <c r="G52" s="30"/>
      <c r="H52" s="30"/>
      <c r="I52" s="24" t="s">
        <v>139</v>
      </c>
      <c r="J52" s="14">
        <f>2*(0.15+0.45)+0.16</f>
        <v>1.3599999999999999</v>
      </c>
      <c r="K52" s="25">
        <v>30</v>
      </c>
      <c r="L52" s="22"/>
      <c r="M52" s="14">
        <f>K52*J52*C48*M47</f>
        <v>32.150399999999998</v>
      </c>
      <c r="N52" s="14"/>
      <c r="O52" s="22"/>
      <c r="P52" s="14"/>
      <c r="Q52" s="22"/>
    </row>
    <row r="53" spans="1:17" x14ac:dyDescent="0.25">
      <c r="A53" s="26">
        <v>2</v>
      </c>
      <c r="B53" s="43" t="s">
        <v>285</v>
      </c>
      <c r="C53" s="27">
        <v>2</v>
      </c>
      <c r="D53" s="26">
        <v>5.25</v>
      </c>
      <c r="E53" s="26">
        <v>0.2</v>
      </c>
      <c r="F53" s="26">
        <v>0.5</v>
      </c>
      <c r="G53" s="26">
        <f>C53*D53*E53*(F53-0.15)</f>
        <v>0.73499999999999999</v>
      </c>
      <c r="H53" s="26">
        <f>C53*D53*(F53-0.15)*2</f>
        <v>7.35</v>
      </c>
      <c r="I53" s="24">
        <v>1</v>
      </c>
      <c r="J53" s="14">
        <f>D53-0.05+0.8</f>
        <v>6</v>
      </c>
      <c r="K53" s="25">
        <v>2</v>
      </c>
      <c r="L53" s="22"/>
      <c r="M53" s="22"/>
      <c r="N53" s="22"/>
      <c r="O53" s="22"/>
      <c r="P53" s="14">
        <f>J53*P47*C53*K53</f>
        <v>47.76</v>
      </c>
      <c r="Q53" s="22"/>
    </row>
    <row r="54" spans="1:17" x14ac:dyDescent="0.25">
      <c r="A54" s="28"/>
      <c r="B54" s="44"/>
      <c r="C54" s="29"/>
      <c r="D54" s="28"/>
      <c r="E54" s="28"/>
      <c r="F54" s="28"/>
      <c r="G54" s="28"/>
      <c r="H54" s="28"/>
      <c r="I54" s="24">
        <v>2</v>
      </c>
      <c r="J54" s="14">
        <f>D53-0.05+0.3</f>
        <v>5.5</v>
      </c>
      <c r="K54" s="25">
        <v>2</v>
      </c>
      <c r="L54" s="22"/>
      <c r="M54" s="22"/>
      <c r="N54" s="22"/>
      <c r="O54" s="22"/>
      <c r="P54" s="14">
        <f>J54*P47*C53*K54</f>
        <v>43.78</v>
      </c>
      <c r="Q54" s="22"/>
    </row>
    <row r="55" spans="1:17" x14ac:dyDescent="0.25">
      <c r="A55" s="28"/>
      <c r="B55" s="44"/>
      <c r="C55" s="29"/>
      <c r="D55" s="28"/>
      <c r="E55" s="28"/>
      <c r="F55" s="28"/>
      <c r="G55" s="28"/>
      <c r="H55" s="28"/>
      <c r="I55" s="24">
        <v>3</v>
      </c>
      <c r="J55" s="14">
        <v>3.6</v>
      </c>
      <c r="K55" s="25">
        <v>1</v>
      </c>
      <c r="L55" s="22"/>
      <c r="M55" s="22"/>
      <c r="N55" s="22"/>
      <c r="O55" s="22"/>
      <c r="P55" s="14">
        <f>K55*P47*J55*C53</f>
        <v>14.327999999999999</v>
      </c>
      <c r="Q55" s="22"/>
    </row>
    <row r="56" spans="1:17" x14ac:dyDescent="0.25">
      <c r="A56" s="28"/>
      <c r="B56" s="44"/>
      <c r="C56" s="29"/>
      <c r="D56" s="28"/>
      <c r="E56" s="28"/>
      <c r="F56" s="28"/>
      <c r="G56" s="28"/>
      <c r="H56" s="28"/>
      <c r="I56" s="24">
        <v>4</v>
      </c>
      <c r="J56" s="14">
        <v>3.2</v>
      </c>
      <c r="K56" s="25">
        <v>1</v>
      </c>
      <c r="L56" s="22"/>
      <c r="M56" s="22"/>
      <c r="N56" s="22"/>
      <c r="O56" s="22"/>
      <c r="P56" s="14">
        <f>J56*K56*P47*C53</f>
        <v>12.736000000000001</v>
      </c>
      <c r="Q56" s="22"/>
    </row>
    <row r="57" spans="1:17" x14ac:dyDescent="0.25">
      <c r="A57" s="30"/>
      <c r="B57" s="45"/>
      <c r="C57" s="31"/>
      <c r="D57" s="30"/>
      <c r="E57" s="30"/>
      <c r="F57" s="30"/>
      <c r="G57" s="30"/>
      <c r="H57" s="30"/>
      <c r="I57" s="24" t="s">
        <v>139</v>
      </c>
      <c r="J57" s="14">
        <f>2*(0.15+0.45)+0.16</f>
        <v>1.3599999999999999</v>
      </c>
      <c r="K57" s="25">
        <v>27</v>
      </c>
      <c r="L57" s="22"/>
      <c r="M57" s="14">
        <f>K57*J57*C53*M47</f>
        <v>28.935359999999999</v>
      </c>
      <c r="N57" s="14"/>
      <c r="O57" s="22"/>
      <c r="P57" s="14"/>
      <c r="Q57" s="22"/>
    </row>
    <row r="58" spans="1:17" x14ac:dyDescent="0.25">
      <c r="A58" s="26">
        <v>3</v>
      </c>
      <c r="B58" s="43" t="s">
        <v>284</v>
      </c>
      <c r="C58" s="27">
        <v>1</v>
      </c>
      <c r="D58" s="26">
        <v>19.899999999999999</v>
      </c>
      <c r="E58" s="26">
        <v>0.2</v>
      </c>
      <c r="F58" s="26">
        <v>0.5</v>
      </c>
      <c r="G58" s="26">
        <f>C58*D58*E58*(F58-0.15)</f>
        <v>1.393</v>
      </c>
      <c r="H58" s="26">
        <f>C58*D58*(F58-0.15)*2</f>
        <v>13.929999999999998</v>
      </c>
      <c r="I58" s="24">
        <v>1</v>
      </c>
      <c r="J58" s="14">
        <f>D58-0.05+0.8+35*0.018</f>
        <v>21.279999999999998</v>
      </c>
      <c r="K58" s="25">
        <v>2</v>
      </c>
      <c r="L58" s="22"/>
      <c r="M58" s="22"/>
      <c r="N58" s="22"/>
      <c r="O58" s="22"/>
      <c r="P58" s="14">
        <f>J58*P47*C58*K58</f>
        <v>84.694399999999987</v>
      </c>
      <c r="Q58" s="22"/>
    </row>
    <row r="59" spans="1:17" x14ac:dyDescent="0.25">
      <c r="A59" s="120"/>
      <c r="B59" s="44"/>
      <c r="C59" s="29"/>
      <c r="D59" s="28"/>
      <c r="E59" s="28"/>
      <c r="F59" s="28"/>
      <c r="G59" s="28"/>
      <c r="H59" s="28"/>
      <c r="I59" s="24">
        <v>2</v>
      </c>
      <c r="J59" s="14">
        <f>D58-0.05+0.3+0.018*35</f>
        <v>20.779999999999998</v>
      </c>
      <c r="K59" s="25">
        <v>2</v>
      </c>
      <c r="L59" s="22"/>
      <c r="M59" s="22"/>
      <c r="N59" s="22"/>
      <c r="O59" s="22"/>
      <c r="P59" s="14">
        <f>J59*P47*C58*K59</f>
        <v>82.704399999999993</v>
      </c>
      <c r="Q59" s="22"/>
    </row>
    <row r="60" spans="1:17" x14ac:dyDescent="0.25">
      <c r="A60" s="120"/>
      <c r="B60" s="121"/>
      <c r="C60" s="122"/>
      <c r="D60" s="120"/>
      <c r="E60" s="120"/>
      <c r="F60" s="120"/>
      <c r="G60" s="120"/>
      <c r="H60" s="120"/>
      <c r="I60" s="24">
        <v>3</v>
      </c>
      <c r="J60" s="14">
        <v>2.75</v>
      </c>
      <c r="K60" s="25">
        <v>2</v>
      </c>
      <c r="L60" s="22"/>
      <c r="M60" s="22"/>
      <c r="N60" s="22"/>
      <c r="O60" s="22"/>
      <c r="P60" s="14">
        <f>K60*P47*J60*C58</f>
        <v>10.945</v>
      </c>
      <c r="Q60" s="22"/>
    </row>
    <row r="61" spans="1:17" x14ac:dyDescent="0.25">
      <c r="A61" s="120"/>
      <c r="B61" s="121"/>
      <c r="C61" s="122"/>
      <c r="D61" s="120"/>
      <c r="E61" s="120"/>
      <c r="F61" s="120"/>
      <c r="G61" s="120"/>
      <c r="H61" s="120"/>
      <c r="I61" s="24">
        <v>4</v>
      </c>
      <c r="J61" s="14">
        <v>3.4</v>
      </c>
      <c r="K61" s="25">
        <v>1</v>
      </c>
      <c r="L61" s="22"/>
      <c r="M61" s="22"/>
      <c r="N61" s="22"/>
      <c r="O61" s="22"/>
      <c r="P61" s="14">
        <f>J61*K61*P47*C58</f>
        <v>6.766</v>
      </c>
      <c r="Q61" s="80"/>
    </row>
    <row r="62" spans="1:17" x14ac:dyDescent="0.25">
      <c r="A62" s="120"/>
      <c r="B62" s="121"/>
      <c r="C62" s="122"/>
      <c r="D62" s="120"/>
      <c r="E62" s="120"/>
      <c r="F62" s="120"/>
      <c r="G62" s="120"/>
      <c r="H62" s="120"/>
      <c r="I62" s="24">
        <v>5</v>
      </c>
      <c r="J62" s="14">
        <v>3.3</v>
      </c>
      <c r="K62" s="25">
        <v>4</v>
      </c>
      <c r="L62" s="22"/>
      <c r="M62" s="22"/>
      <c r="N62" s="22"/>
      <c r="O62" s="22"/>
      <c r="P62" s="14">
        <f>J62*K62*P47*C58</f>
        <v>26.267999999999997</v>
      </c>
      <c r="Q62" s="80"/>
    </row>
    <row r="63" spans="1:17" x14ac:dyDescent="0.25">
      <c r="A63" s="120"/>
      <c r="B63" s="121"/>
      <c r="C63" s="122"/>
      <c r="D63" s="120"/>
      <c r="E63" s="120"/>
      <c r="F63" s="120"/>
      <c r="G63" s="120"/>
      <c r="H63" s="120"/>
      <c r="I63" s="24">
        <v>6</v>
      </c>
      <c r="J63" s="14">
        <v>4.4000000000000004</v>
      </c>
      <c r="K63" s="25">
        <v>1</v>
      </c>
      <c r="L63" s="22"/>
      <c r="M63" s="22"/>
      <c r="N63" s="22"/>
      <c r="O63" s="22"/>
      <c r="P63" s="14">
        <f>J63*K63*P47*C58</f>
        <v>8.7560000000000002</v>
      </c>
      <c r="Q63" s="80"/>
    </row>
    <row r="64" spans="1:17" x14ac:dyDescent="0.25">
      <c r="A64" s="123"/>
      <c r="B64" s="124"/>
      <c r="C64" s="125"/>
      <c r="D64" s="123"/>
      <c r="E64" s="123"/>
      <c r="F64" s="123"/>
      <c r="G64" s="123"/>
      <c r="H64" s="123"/>
      <c r="I64" s="24" t="s">
        <v>139</v>
      </c>
      <c r="J64" s="14">
        <f>2*(0.15+0.45)+0.16</f>
        <v>1.3599999999999999</v>
      </c>
      <c r="K64" s="25">
        <v>14</v>
      </c>
      <c r="L64" s="22"/>
      <c r="M64" s="14">
        <f>K64*J64*C58*M52</f>
        <v>612.14361599999995</v>
      </c>
      <c r="N64" s="14"/>
      <c r="O64" s="22"/>
      <c r="P64" s="14"/>
      <c r="Q64" s="80"/>
    </row>
    <row r="65" spans="1:17" x14ac:dyDescent="0.25">
      <c r="A65" s="26">
        <v>3</v>
      </c>
      <c r="B65" s="43" t="s">
        <v>287</v>
      </c>
      <c r="C65" s="27">
        <v>2</v>
      </c>
      <c r="D65" s="26">
        <v>10.3</v>
      </c>
      <c r="E65" s="26">
        <v>0.2</v>
      </c>
      <c r="F65" s="26">
        <v>0.5</v>
      </c>
      <c r="G65" s="26">
        <f>C65*D65*E65*(F65-0.15)</f>
        <v>1.4419999999999999</v>
      </c>
      <c r="H65" s="26">
        <f>C65*D65*(F65-0.15)*2</f>
        <v>14.42</v>
      </c>
      <c r="I65" s="24">
        <v>1</v>
      </c>
      <c r="J65" s="14">
        <f>D65-0.05+0.8</f>
        <v>11.05</v>
      </c>
      <c r="K65" s="25">
        <v>2</v>
      </c>
      <c r="L65" s="22"/>
      <c r="M65" s="22"/>
      <c r="N65" s="22"/>
      <c r="O65" s="22"/>
      <c r="P65" s="14">
        <f>J65*P47*C65*K65</f>
        <v>87.957999999999998</v>
      </c>
      <c r="Q65" s="22"/>
    </row>
    <row r="66" spans="1:17" x14ac:dyDescent="0.25">
      <c r="A66" s="120"/>
      <c r="B66" s="44"/>
      <c r="C66" s="29"/>
      <c r="D66" s="28"/>
      <c r="E66" s="28"/>
      <c r="F66" s="28"/>
      <c r="G66" s="28"/>
      <c r="H66" s="28"/>
      <c r="I66" s="24">
        <v>2</v>
      </c>
      <c r="J66" s="14">
        <f>D65-0.05+0.3</f>
        <v>10.55</v>
      </c>
      <c r="K66" s="25">
        <v>2</v>
      </c>
      <c r="L66" s="22"/>
      <c r="M66" s="22"/>
      <c r="N66" s="22"/>
      <c r="O66" s="22"/>
      <c r="P66" s="14">
        <f>J66*P47*C65*K66</f>
        <v>83.978000000000009</v>
      </c>
      <c r="Q66" s="22"/>
    </row>
    <row r="67" spans="1:17" x14ac:dyDescent="0.25">
      <c r="A67" s="120"/>
      <c r="B67" s="121"/>
      <c r="C67" s="122"/>
      <c r="D67" s="120"/>
      <c r="E67" s="120"/>
      <c r="F67" s="120"/>
      <c r="G67" s="120"/>
      <c r="H67" s="28"/>
      <c r="I67" s="24">
        <v>3</v>
      </c>
      <c r="J67" s="14">
        <v>4.2</v>
      </c>
      <c r="K67" s="25">
        <v>2</v>
      </c>
      <c r="L67" s="22"/>
      <c r="M67" s="22"/>
      <c r="N67" s="22"/>
      <c r="O67" s="22"/>
      <c r="P67" s="14">
        <f>K67*P47*J67*C65</f>
        <v>33.432000000000002</v>
      </c>
      <c r="Q67" s="22"/>
    </row>
    <row r="68" spans="1:17" x14ac:dyDescent="0.25">
      <c r="A68" s="120"/>
      <c r="B68" s="121"/>
      <c r="C68" s="122"/>
      <c r="D68" s="120"/>
      <c r="E68" s="120"/>
      <c r="F68" s="120"/>
      <c r="G68" s="120"/>
      <c r="H68" s="28"/>
      <c r="I68" s="24">
        <v>4</v>
      </c>
      <c r="J68" s="14">
        <v>5.4</v>
      </c>
      <c r="K68" s="25">
        <v>1</v>
      </c>
      <c r="L68" s="22"/>
      <c r="M68" s="22"/>
      <c r="N68" s="22"/>
      <c r="O68" s="22"/>
      <c r="P68" s="14">
        <f>J68*K68*P47*C65</f>
        <v>21.492000000000001</v>
      </c>
      <c r="Q68" s="22"/>
    </row>
    <row r="69" spans="1:17" x14ac:dyDescent="0.25">
      <c r="A69" s="120"/>
      <c r="B69" s="121"/>
      <c r="C69" s="122"/>
      <c r="D69" s="120"/>
      <c r="E69" s="120"/>
      <c r="F69" s="120"/>
      <c r="G69" s="120"/>
      <c r="H69" s="28"/>
      <c r="I69" s="24">
        <v>5</v>
      </c>
      <c r="J69" s="14">
        <v>2.75</v>
      </c>
      <c r="K69" s="25">
        <v>4</v>
      </c>
      <c r="L69" s="22"/>
      <c r="M69" s="22"/>
      <c r="N69" s="22"/>
      <c r="O69" s="22"/>
      <c r="P69" s="14">
        <f>J69*K69*P47*C65</f>
        <v>43.78</v>
      </c>
      <c r="Q69" s="22"/>
    </row>
    <row r="70" spans="1:17" x14ac:dyDescent="0.25">
      <c r="A70" s="123"/>
      <c r="B70" s="124"/>
      <c r="C70" s="125"/>
      <c r="D70" s="123"/>
      <c r="E70" s="123"/>
      <c r="F70" s="123"/>
      <c r="G70" s="123"/>
      <c r="H70" s="30"/>
      <c r="I70" s="24" t="s">
        <v>139</v>
      </c>
      <c r="J70" s="14">
        <f>2*(0.15+0.45)+0.16</f>
        <v>1.3599999999999999</v>
      </c>
      <c r="K70" s="25">
        <v>52</v>
      </c>
      <c r="L70" s="22"/>
      <c r="M70" s="14">
        <f>K70*J70*C65*M47</f>
        <v>55.727360000000004</v>
      </c>
      <c r="N70" s="14"/>
      <c r="O70" s="22"/>
      <c r="P70" s="14"/>
      <c r="Q70" s="22"/>
    </row>
    <row r="71" spans="1:17" x14ac:dyDescent="0.25">
      <c r="A71" s="26">
        <v>4</v>
      </c>
      <c r="B71" s="43" t="s">
        <v>281</v>
      </c>
      <c r="C71" s="27">
        <v>1</v>
      </c>
      <c r="D71" s="166">
        <v>160.69</v>
      </c>
      <c r="E71" s="168"/>
      <c r="F71" s="26">
        <v>0.15</v>
      </c>
      <c r="G71" s="26">
        <f>D71*F71</f>
        <v>24.1035</v>
      </c>
      <c r="H71" s="26">
        <f>D71+2*(25+7)*0.15</f>
        <v>170.29</v>
      </c>
      <c r="I71" s="24">
        <v>1</v>
      </c>
      <c r="J71" s="14">
        <v>1.71</v>
      </c>
      <c r="K71" s="25">
        <v>46</v>
      </c>
      <c r="L71" s="14"/>
      <c r="M71" s="14"/>
      <c r="N71" s="14"/>
      <c r="O71" s="22">
        <f>O47*K71*J71*C71</f>
        <v>69.771419999999992</v>
      </c>
      <c r="P71" s="14"/>
      <c r="Q71" s="80"/>
    </row>
    <row r="72" spans="1:17" x14ac:dyDescent="0.25">
      <c r="A72" s="28"/>
      <c r="B72" s="44"/>
      <c r="C72" s="29"/>
      <c r="D72" s="28"/>
      <c r="E72" s="28"/>
      <c r="F72" s="28"/>
      <c r="G72" s="28"/>
      <c r="H72" s="28"/>
      <c r="I72" s="24">
        <v>2</v>
      </c>
      <c r="J72" s="14">
        <v>4.63</v>
      </c>
      <c r="K72" s="25">
        <v>35</v>
      </c>
      <c r="L72" s="14"/>
      <c r="M72" s="14"/>
      <c r="N72" s="14">
        <f>N47*K72*J72*C71</f>
        <v>99.822799999999987</v>
      </c>
      <c r="O72" s="22"/>
      <c r="P72" s="81"/>
      <c r="Q72" s="80"/>
    </row>
    <row r="73" spans="1:17" x14ac:dyDescent="0.25">
      <c r="A73" s="28"/>
      <c r="B73" s="44"/>
      <c r="C73" s="29"/>
      <c r="D73" s="28"/>
      <c r="E73" s="28"/>
      <c r="F73" s="28"/>
      <c r="G73" s="28"/>
      <c r="H73" s="28"/>
      <c r="I73" s="24">
        <v>3</v>
      </c>
      <c r="J73" s="14">
        <v>1.61</v>
      </c>
      <c r="K73" s="25">
        <v>205</v>
      </c>
      <c r="L73" s="14"/>
      <c r="M73" s="14"/>
      <c r="N73" s="14"/>
      <c r="O73" s="22">
        <f>O47*K73*J73*C71</f>
        <v>292.75435000000004</v>
      </c>
      <c r="P73" s="14"/>
      <c r="Q73" s="80"/>
    </row>
    <row r="74" spans="1:17" x14ac:dyDescent="0.25">
      <c r="A74" s="28"/>
      <c r="B74" s="44"/>
      <c r="C74" s="29"/>
      <c r="D74" s="28"/>
      <c r="E74" s="28"/>
      <c r="F74" s="28"/>
      <c r="G74" s="28"/>
      <c r="H74" s="28"/>
      <c r="I74" s="24">
        <v>4</v>
      </c>
      <c r="J74" s="14">
        <v>7.45</v>
      </c>
      <c r="K74" s="25">
        <v>22</v>
      </c>
      <c r="L74" s="14"/>
      <c r="M74" s="14"/>
      <c r="N74" s="14">
        <f>N47*K74*J74*C71</f>
        <v>100.9624</v>
      </c>
      <c r="O74" s="22"/>
      <c r="P74" s="81"/>
      <c r="Q74" s="80"/>
    </row>
    <row r="75" spans="1:17" x14ac:dyDescent="0.25">
      <c r="A75" s="28"/>
      <c r="B75" s="44"/>
      <c r="C75" s="29"/>
      <c r="D75" s="28"/>
      <c r="E75" s="28"/>
      <c r="F75" s="28"/>
      <c r="G75" s="28"/>
      <c r="H75" s="28"/>
      <c r="I75" s="24">
        <v>5</v>
      </c>
      <c r="J75" s="14">
        <v>2.86</v>
      </c>
      <c r="K75" s="25">
        <v>60</v>
      </c>
      <c r="L75" s="14"/>
      <c r="M75" s="14"/>
      <c r="N75" s="14"/>
      <c r="O75" s="22">
        <f>O47*K75*J75*C71</f>
        <v>152.20919999999998</v>
      </c>
      <c r="P75" s="81"/>
      <c r="Q75" s="80"/>
    </row>
    <row r="76" spans="1:17" x14ac:dyDescent="0.25">
      <c r="A76" s="28"/>
      <c r="B76" s="44"/>
      <c r="C76" s="29"/>
      <c r="D76" s="28"/>
      <c r="E76" s="28"/>
      <c r="F76" s="28"/>
      <c r="G76" s="28"/>
      <c r="H76" s="28"/>
      <c r="I76" s="24">
        <v>6</v>
      </c>
      <c r="J76" s="14">
        <v>4.5999999999999996</v>
      </c>
      <c r="K76" s="25">
        <v>80</v>
      </c>
      <c r="L76" s="14"/>
      <c r="M76" s="14"/>
      <c r="N76" s="14">
        <f>N47*K76*J76*C71</f>
        <v>226.68799999999999</v>
      </c>
      <c r="O76" s="22"/>
      <c r="P76" s="14"/>
      <c r="Q76" s="22"/>
    </row>
    <row r="77" spans="1:17" x14ac:dyDescent="0.25">
      <c r="A77" s="28"/>
      <c r="B77" s="44"/>
      <c r="C77" s="29"/>
      <c r="D77" s="28"/>
      <c r="E77" s="28"/>
      <c r="F77" s="28"/>
      <c r="G77" s="28"/>
      <c r="H77" s="28"/>
      <c r="I77" s="24">
        <v>7</v>
      </c>
      <c r="J77" s="14">
        <v>2.76</v>
      </c>
      <c r="K77" s="25">
        <v>64</v>
      </c>
      <c r="L77" s="14"/>
      <c r="M77" s="14"/>
      <c r="N77" s="14"/>
      <c r="O77" s="22">
        <f>O47*K77*J77*C71</f>
        <v>156.67967999999999</v>
      </c>
      <c r="P77" s="14"/>
      <c r="Q77" s="22"/>
    </row>
    <row r="78" spans="1:17" x14ac:dyDescent="0.25">
      <c r="A78" s="30"/>
      <c r="B78" s="45"/>
      <c r="C78" s="31"/>
      <c r="D78" s="30"/>
      <c r="E78" s="30"/>
      <c r="F78" s="30"/>
      <c r="G78" s="30"/>
      <c r="H78" s="30"/>
      <c r="I78" s="24">
        <v>8</v>
      </c>
      <c r="J78" s="14">
        <v>8.1999999999999993</v>
      </c>
      <c r="K78" s="25">
        <v>48</v>
      </c>
      <c r="L78" s="14"/>
      <c r="M78" s="14"/>
      <c r="N78" s="14">
        <f>N47*K78*J78*C71</f>
        <v>242.45759999999996</v>
      </c>
      <c r="O78" s="22"/>
      <c r="P78" s="14"/>
      <c r="Q78" s="22"/>
    </row>
    <row r="79" spans="1:17" x14ac:dyDescent="0.25">
      <c r="A79" s="160" t="s">
        <v>280</v>
      </c>
      <c r="B79" s="172"/>
      <c r="C79" s="172"/>
      <c r="D79" s="172"/>
      <c r="E79" s="172"/>
      <c r="F79" s="161"/>
      <c r="G79" s="68">
        <f>SUM(G48:G78)</f>
        <v>28.453299999999999</v>
      </c>
      <c r="H79" s="68">
        <f>SUM(H48:H78)</f>
        <v>213.78799999999998</v>
      </c>
      <c r="I79" s="68"/>
      <c r="J79" s="68"/>
      <c r="K79" s="68"/>
      <c r="L79" s="68"/>
      <c r="M79" s="68">
        <f>SUM(M49:M78)</f>
        <v>728.95673599999998</v>
      </c>
      <c r="N79" s="68">
        <f>SUM(N51:N78)</f>
        <v>669.93079999999986</v>
      </c>
      <c r="O79" s="68">
        <f>SUM(O52:O78)</f>
        <v>671.41464999999994</v>
      </c>
      <c r="P79" s="91">
        <f>SUM(P48:P78)</f>
        <v>734.27019999999993</v>
      </c>
      <c r="Q79" s="68"/>
    </row>
    <row r="81" spans="1:17" ht="26.25" x14ac:dyDescent="0.4">
      <c r="A81" s="162" t="s">
        <v>288</v>
      </c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4"/>
    </row>
    <row r="82" spans="1:17" x14ac:dyDescent="0.25">
      <c r="A82" s="158" t="s">
        <v>0</v>
      </c>
      <c r="B82" s="158" t="s">
        <v>1</v>
      </c>
      <c r="C82" s="157" t="s">
        <v>133</v>
      </c>
      <c r="D82" s="157"/>
      <c r="E82" s="157"/>
      <c r="F82" s="157"/>
      <c r="G82" s="157"/>
      <c r="H82" s="157"/>
      <c r="I82" s="141" t="s">
        <v>75</v>
      </c>
      <c r="J82" s="141"/>
      <c r="K82" s="141"/>
      <c r="L82" s="141"/>
      <c r="M82" s="141"/>
      <c r="N82" s="141"/>
      <c r="O82" s="141"/>
      <c r="P82" s="141"/>
      <c r="Q82" s="141"/>
    </row>
    <row r="83" spans="1:17" x14ac:dyDescent="0.25">
      <c r="A83" s="159"/>
      <c r="B83" s="159"/>
      <c r="C83" s="9" t="s">
        <v>78</v>
      </c>
      <c r="D83" s="10" t="s">
        <v>73</v>
      </c>
      <c r="E83" s="10" t="s">
        <v>72</v>
      </c>
      <c r="F83" s="11" t="s">
        <v>74</v>
      </c>
      <c r="G83" s="10" t="s">
        <v>4</v>
      </c>
      <c r="H83" s="10" t="s">
        <v>58</v>
      </c>
      <c r="I83" s="12" t="s">
        <v>77</v>
      </c>
      <c r="J83" s="10" t="s">
        <v>80</v>
      </c>
      <c r="K83" s="13" t="s">
        <v>79</v>
      </c>
      <c r="L83" s="10" t="s">
        <v>6</v>
      </c>
      <c r="M83" s="10" t="s">
        <v>7</v>
      </c>
      <c r="N83" s="10" t="s">
        <v>8</v>
      </c>
      <c r="O83" s="10" t="s">
        <v>9</v>
      </c>
      <c r="P83" s="10" t="s">
        <v>14</v>
      </c>
      <c r="Q83" s="10" t="s">
        <v>12</v>
      </c>
    </row>
    <row r="84" spans="1:17" x14ac:dyDescent="0.25">
      <c r="A84" s="160"/>
      <c r="B84" s="161"/>
      <c r="C84" s="23"/>
      <c r="D84" s="22"/>
      <c r="E84" s="22"/>
      <c r="F84" s="22"/>
      <c r="G84" s="22"/>
      <c r="H84" s="22"/>
      <c r="I84" s="24"/>
      <c r="J84" s="14"/>
      <c r="K84" s="25"/>
      <c r="L84" s="14">
        <v>0.222</v>
      </c>
      <c r="M84" s="14">
        <v>0.39400000000000002</v>
      </c>
      <c r="N84" s="14">
        <v>0.61599999999999999</v>
      </c>
      <c r="O84" s="14">
        <v>0.88700000000000001</v>
      </c>
      <c r="P84" s="14">
        <v>1.99</v>
      </c>
      <c r="Q84" s="14">
        <v>2.9830000000000001</v>
      </c>
    </row>
    <row r="85" spans="1:17" x14ac:dyDescent="0.25">
      <c r="A85" s="26">
        <v>1</v>
      </c>
      <c r="B85" s="43" t="s">
        <v>289</v>
      </c>
      <c r="C85" s="27">
        <v>1</v>
      </c>
      <c r="D85" s="26">
        <v>3</v>
      </c>
      <c r="E85" s="26">
        <v>0.2</v>
      </c>
      <c r="F85" s="26">
        <v>0.45</v>
      </c>
      <c r="G85" s="26">
        <f>C85*D85*E85*(F85-0.15)</f>
        <v>0.18000000000000005</v>
      </c>
      <c r="H85" s="26">
        <f>C85*D85*(F85-0.15)*2</f>
        <v>1.8000000000000003</v>
      </c>
      <c r="I85" s="24">
        <v>1</v>
      </c>
      <c r="J85" s="14">
        <v>2.85</v>
      </c>
      <c r="K85" s="25">
        <v>2</v>
      </c>
      <c r="L85" s="22"/>
      <c r="M85" s="22"/>
      <c r="N85" s="22"/>
      <c r="O85" s="22"/>
      <c r="P85" s="14"/>
      <c r="Q85" s="22">
        <f>Q84*K85*J85</f>
        <v>17.0031</v>
      </c>
    </row>
    <row r="86" spans="1:17" x14ac:dyDescent="0.25">
      <c r="A86" s="28"/>
      <c r="B86" s="44"/>
      <c r="C86" s="29"/>
      <c r="D86" s="28"/>
      <c r="E86" s="28"/>
      <c r="F86" s="28"/>
      <c r="G86" s="28"/>
      <c r="H86" s="28"/>
      <c r="I86" s="24">
        <v>2</v>
      </c>
      <c r="J86" s="14">
        <v>3.6</v>
      </c>
      <c r="K86" s="25">
        <v>2</v>
      </c>
      <c r="L86" s="22"/>
      <c r="M86" s="22"/>
      <c r="N86" s="22"/>
      <c r="O86" s="22"/>
      <c r="P86" s="14"/>
      <c r="Q86" s="22">
        <f>Q84*K86*J86</f>
        <v>21.477600000000002</v>
      </c>
    </row>
    <row r="87" spans="1:17" x14ac:dyDescent="0.25">
      <c r="A87" s="28"/>
      <c r="B87" s="44"/>
      <c r="C87" s="29"/>
      <c r="D87" s="28"/>
      <c r="E87" s="28"/>
      <c r="F87" s="28"/>
      <c r="G87" s="28"/>
      <c r="H87" s="28"/>
      <c r="I87" s="24">
        <v>3</v>
      </c>
      <c r="J87" s="14">
        <v>2.85</v>
      </c>
      <c r="K87" s="25">
        <v>2</v>
      </c>
      <c r="L87" s="22"/>
      <c r="M87" s="22"/>
      <c r="N87" s="22"/>
      <c r="O87" s="22"/>
      <c r="P87" s="14"/>
      <c r="Q87" s="22">
        <f>Q84*K87*J87</f>
        <v>17.0031</v>
      </c>
    </row>
    <row r="88" spans="1:17" x14ac:dyDescent="0.25">
      <c r="A88" s="28"/>
      <c r="B88" s="44"/>
      <c r="C88" s="29"/>
      <c r="D88" s="28"/>
      <c r="E88" s="28"/>
      <c r="F88" s="28"/>
      <c r="G88" s="28"/>
      <c r="H88" s="28"/>
      <c r="I88" s="24">
        <v>4</v>
      </c>
      <c r="J88" s="14">
        <v>2.65</v>
      </c>
      <c r="K88" s="25">
        <v>2</v>
      </c>
      <c r="L88" s="22"/>
      <c r="M88" s="22"/>
      <c r="N88" s="22"/>
      <c r="O88" s="22"/>
      <c r="P88" s="22">
        <f>P84*J88*K88</f>
        <v>10.546999999999999</v>
      </c>
      <c r="Q88" s="22"/>
    </row>
    <row r="89" spans="1:17" x14ac:dyDescent="0.25">
      <c r="A89" s="28"/>
      <c r="B89" s="44"/>
      <c r="C89" s="29"/>
      <c r="D89" s="28"/>
      <c r="E89" s="28"/>
      <c r="F89" s="28"/>
      <c r="G89" s="28"/>
      <c r="H89" s="28"/>
      <c r="I89" s="24">
        <v>5</v>
      </c>
      <c r="J89" s="14">
        <v>2.35</v>
      </c>
      <c r="K89" s="25">
        <v>2</v>
      </c>
      <c r="L89" s="22"/>
      <c r="M89" s="22"/>
      <c r="N89" s="22"/>
      <c r="O89" s="22"/>
      <c r="P89" s="14"/>
      <c r="Q89" s="22">
        <f>Q84*K89*J89</f>
        <v>14.020100000000001</v>
      </c>
    </row>
    <row r="90" spans="1:17" x14ac:dyDescent="0.25">
      <c r="A90" s="28"/>
      <c r="B90" s="44"/>
      <c r="C90" s="29"/>
      <c r="D90" s="28"/>
      <c r="E90" s="28"/>
      <c r="F90" s="28"/>
      <c r="G90" s="28"/>
      <c r="H90" s="28"/>
      <c r="I90" s="24">
        <v>6</v>
      </c>
      <c r="J90" s="14">
        <v>1.76</v>
      </c>
      <c r="K90" s="25">
        <v>11</v>
      </c>
      <c r="L90" s="22"/>
      <c r="M90" s="14">
        <f>K90*J90*C85*M84</f>
        <v>7.62784</v>
      </c>
      <c r="N90" s="22"/>
      <c r="O90" s="22"/>
      <c r="P90" s="14"/>
      <c r="Q90" s="22"/>
    </row>
    <row r="91" spans="1:17" x14ac:dyDescent="0.25">
      <c r="A91" s="30"/>
      <c r="B91" s="45"/>
      <c r="C91" s="31"/>
      <c r="D91" s="30"/>
      <c r="E91" s="30"/>
      <c r="F91" s="30"/>
      <c r="G91" s="30"/>
      <c r="H91" s="30"/>
      <c r="I91" s="24">
        <v>7</v>
      </c>
      <c r="J91" s="14">
        <v>1.26</v>
      </c>
      <c r="K91" s="25">
        <v>8</v>
      </c>
      <c r="L91" s="22"/>
      <c r="M91" s="14">
        <f>K91*J91*C85*M84</f>
        <v>3.9715200000000004</v>
      </c>
      <c r="N91" s="14"/>
      <c r="O91" s="22"/>
      <c r="P91" s="14"/>
      <c r="Q91" s="22"/>
    </row>
    <row r="92" spans="1:17" x14ac:dyDescent="0.25">
      <c r="A92" s="26">
        <v>2</v>
      </c>
      <c r="B92" s="43" t="s">
        <v>290</v>
      </c>
      <c r="C92" s="27">
        <v>1</v>
      </c>
      <c r="D92" s="26">
        <v>7.5</v>
      </c>
      <c r="E92" s="26">
        <v>0.2</v>
      </c>
      <c r="F92" s="26">
        <v>0.5</v>
      </c>
      <c r="G92" s="26">
        <f>C92*D92*E92*(F92-0.15)</f>
        <v>0.52499999999999991</v>
      </c>
      <c r="H92" s="26">
        <f>C92*D92*(F92-0.15)*2</f>
        <v>5.25</v>
      </c>
      <c r="I92" s="24">
        <v>1</v>
      </c>
      <c r="J92" s="14">
        <v>7.9</v>
      </c>
      <c r="K92" s="25">
        <v>2</v>
      </c>
      <c r="L92" s="22"/>
      <c r="M92" s="22"/>
      <c r="N92" s="22"/>
      <c r="O92" s="22"/>
      <c r="P92" s="14">
        <f>K92*J92*P84</f>
        <v>31.442</v>
      </c>
      <c r="Q92" s="22"/>
    </row>
    <row r="93" spans="1:17" x14ac:dyDescent="0.25">
      <c r="A93" s="28"/>
      <c r="B93" s="44"/>
      <c r="C93" s="29"/>
      <c r="D93" s="28"/>
      <c r="E93" s="28"/>
      <c r="F93" s="28"/>
      <c r="G93" s="28"/>
      <c r="H93" s="28"/>
      <c r="I93" s="24">
        <v>2</v>
      </c>
      <c r="J93" s="14">
        <v>7.9</v>
      </c>
      <c r="K93" s="25">
        <v>2</v>
      </c>
      <c r="L93" s="22"/>
      <c r="M93" s="22"/>
      <c r="N93" s="22"/>
      <c r="O93" s="22"/>
      <c r="P93" s="14">
        <f>P84*K93*J93</f>
        <v>31.442</v>
      </c>
      <c r="Q93" s="22"/>
    </row>
    <row r="94" spans="1:17" x14ac:dyDescent="0.25">
      <c r="A94" s="28"/>
      <c r="B94" s="44"/>
      <c r="C94" s="29"/>
      <c r="D94" s="28"/>
      <c r="E94" s="28"/>
      <c r="F94" s="28"/>
      <c r="G94" s="28"/>
      <c r="H94" s="28"/>
      <c r="I94" s="24">
        <v>3</v>
      </c>
      <c r="J94" s="14">
        <v>2.2999999999999998</v>
      </c>
      <c r="K94" s="25">
        <v>2</v>
      </c>
      <c r="L94" s="22"/>
      <c r="M94" s="22"/>
      <c r="N94" s="22"/>
      <c r="O94" s="22"/>
      <c r="P94" s="14">
        <f>P84*K94*J94</f>
        <v>9.1539999999999999</v>
      </c>
      <c r="Q94" s="22"/>
    </row>
    <row r="95" spans="1:17" x14ac:dyDescent="0.25">
      <c r="A95" s="28"/>
      <c r="B95" s="44"/>
      <c r="C95" s="29"/>
      <c r="D95" s="28"/>
      <c r="E95" s="28"/>
      <c r="F95" s="28"/>
      <c r="G95" s="28"/>
      <c r="H95" s="28"/>
      <c r="I95" s="24">
        <v>4</v>
      </c>
      <c r="J95" s="14">
        <v>4.4000000000000004</v>
      </c>
      <c r="K95" s="25">
        <v>2</v>
      </c>
      <c r="L95" s="22"/>
      <c r="M95" s="22"/>
      <c r="N95" s="22"/>
      <c r="O95" s="22"/>
      <c r="P95" s="14">
        <f>P84*K95*J95</f>
        <v>17.512</v>
      </c>
      <c r="Q95" s="22"/>
    </row>
    <row r="96" spans="1:17" x14ac:dyDescent="0.25">
      <c r="A96" s="28"/>
      <c r="B96" s="44"/>
      <c r="C96" s="29"/>
      <c r="D96" s="28"/>
      <c r="E96" s="28"/>
      <c r="F96" s="28"/>
      <c r="G96" s="28"/>
      <c r="H96" s="28"/>
      <c r="I96" s="24">
        <v>5</v>
      </c>
      <c r="J96" s="14">
        <v>2.25</v>
      </c>
      <c r="K96" s="25">
        <v>2</v>
      </c>
      <c r="L96" s="22"/>
      <c r="M96" s="22"/>
      <c r="N96" s="22"/>
      <c r="O96" s="22"/>
      <c r="P96" s="14">
        <f>P84*K96*J96</f>
        <v>8.9550000000000001</v>
      </c>
      <c r="Q96" s="22"/>
    </row>
    <row r="97" spans="1:17" x14ac:dyDescent="0.25">
      <c r="A97" s="30"/>
      <c r="B97" s="45"/>
      <c r="C97" s="31"/>
      <c r="D97" s="30"/>
      <c r="E97" s="30"/>
      <c r="F97" s="30"/>
      <c r="G97" s="30"/>
      <c r="H97" s="30"/>
      <c r="I97" s="24">
        <v>6</v>
      </c>
      <c r="J97" s="14">
        <v>1.36</v>
      </c>
      <c r="K97" s="25">
        <v>11</v>
      </c>
      <c r="L97" s="22"/>
      <c r="M97" s="14">
        <f>K97*J97*C92*M91</f>
        <v>59.413939200000009</v>
      </c>
      <c r="N97" s="22"/>
      <c r="O97" s="22"/>
      <c r="P97" s="14"/>
      <c r="Q97" s="22"/>
    </row>
    <row r="98" spans="1:17" x14ac:dyDescent="0.25">
      <c r="A98" s="26">
        <v>3</v>
      </c>
      <c r="B98" s="43" t="s">
        <v>291</v>
      </c>
      <c r="C98" s="27">
        <v>1</v>
      </c>
      <c r="D98" s="26">
        <v>5.3</v>
      </c>
      <c r="E98" s="26">
        <v>1.4750000000000001</v>
      </c>
      <c r="F98" s="26">
        <v>0.15</v>
      </c>
      <c r="G98" s="26">
        <f>D98*E98*F98</f>
        <v>1.172625</v>
      </c>
      <c r="H98" s="26">
        <f>D98*E98+2*(D98+E98)*F98</f>
        <v>9.85</v>
      </c>
      <c r="I98" s="24">
        <v>1</v>
      </c>
      <c r="J98" s="14">
        <v>1.61</v>
      </c>
      <c r="K98" s="25">
        <v>28</v>
      </c>
      <c r="L98" s="22"/>
      <c r="M98" s="22"/>
      <c r="N98" s="22">
        <f>N84*K98*J98</f>
        <v>27.769280000000002</v>
      </c>
      <c r="O98" s="22"/>
      <c r="P98" s="14"/>
      <c r="Q98" s="22"/>
    </row>
    <row r="99" spans="1:17" x14ac:dyDescent="0.25">
      <c r="A99" s="28"/>
      <c r="B99" s="44"/>
      <c r="C99" s="29"/>
      <c r="D99" s="28"/>
      <c r="E99" s="28"/>
      <c r="F99" s="28"/>
      <c r="G99" s="28"/>
      <c r="H99" s="28"/>
      <c r="I99" s="24">
        <v>2</v>
      </c>
      <c r="J99" s="14">
        <v>1.51</v>
      </c>
      <c r="K99" s="25">
        <v>28</v>
      </c>
      <c r="L99" s="22"/>
      <c r="M99" s="22">
        <f>M84*K99*J99</f>
        <v>16.65832</v>
      </c>
      <c r="N99" s="22"/>
      <c r="O99" s="22"/>
      <c r="P99" s="14"/>
      <c r="Q99" s="22"/>
    </row>
    <row r="100" spans="1:17" x14ac:dyDescent="0.25">
      <c r="A100" s="28"/>
      <c r="B100" s="44"/>
      <c r="C100" s="29"/>
      <c r="D100" s="28"/>
      <c r="E100" s="28"/>
      <c r="F100" s="28"/>
      <c r="G100" s="28"/>
      <c r="H100" s="28"/>
      <c r="I100" s="24">
        <v>3</v>
      </c>
      <c r="J100" s="14">
        <v>1.46</v>
      </c>
      <c r="K100" s="25">
        <v>6</v>
      </c>
      <c r="L100" s="22"/>
      <c r="M100" s="22"/>
      <c r="N100" s="22">
        <f>N84*K100*J100</f>
        <v>5.3961599999999992</v>
      </c>
      <c r="O100" s="22"/>
      <c r="P100" s="14"/>
      <c r="Q100" s="22"/>
    </row>
    <row r="101" spans="1:17" x14ac:dyDescent="0.25">
      <c r="A101" s="30"/>
      <c r="B101" s="45"/>
      <c r="C101" s="31"/>
      <c r="D101" s="30"/>
      <c r="E101" s="30"/>
      <c r="F101" s="30"/>
      <c r="G101" s="30"/>
      <c r="H101" s="30"/>
      <c r="I101" s="24">
        <v>4</v>
      </c>
      <c r="J101" s="14">
        <v>5.65</v>
      </c>
      <c r="K101" s="25">
        <v>5</v>
      </c>
      <c r="L101" s="22"/>
      <c r="M101" s="14">
        <f>M84*K101*J101</f>
        <v>11.130500000000001</v>
      </c>
      <c r="N101" s="22"/>
      <c r="O101" s="22"/>
      <c r="P101" s="14"/>
      <c r="Q101" s="22"/>
    </row>
    <row r="102" spans="1:17" x14ac:dyDescent="0.25">
      <c r="A102" s="160" t="s">
        <v>280</v>
      </c>
      <c r="B102" s="172"/>
      <c r="C102" s="172"/>
      <c r="D102" s="172"/>
      <c r="E102" s="172"/>
      <c r="F102" s="161"/>
      <c r="G102" s="68">
        <f>SUM(G85:G101)</f>
        <v>1.8776250000000001</v>
      </c>
      <c r="H102" s="68">
        <f>SUM(H85:H101)</f>
        <v>16.899999999999999</v>
      </c>
      <c r="I102" s="68"/>
      <c r="J102" s="68"/>
      <c r="K102" s="68"/>
      <c r="L102" s="68"/>
      <c r="M102" s="68">
        <f>SUM(M85:M101)</f>
        <v>98.802119200000007</v>
      </c>
      <c r="N102" s="68">
        <f>SUM(N88:N101)</f>
        <v>33.165440000000004</v>
      </c>
      <c r="O102" s="68"/>
      <c r="P102" s="91">
        <f>SUM(P85:P101)</f>
        <v>109.05199999999999</v>
      </c>
      <c r="Q102" s="68">
        <f>SUM(Q85:Q101)</f>
        <v>69.503900000000002</v>
      </c>
    </row>
    <row r="104" spans="1:17" ht="26.25" x14ac:dyDescent="0.4">
      <c r="A104" s="162" t="s">
        <v>292</v>
      </c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164"/>
    </row>
    <row r="105" spans="1:17" x14ac:dyDescent="0.25">
      <c r="A105" s="158" t="s">
        <v>0</v>
      </c>
      <c r="B105" s="158" t="s">
        <v>1</v>
      </c>
      <c r="C105" s="157" t="s">
        <v>133</v>
      </c>
      <c r="D105" s="157"/>
      <c r="E105" s="157"/>
      <c r="F105" s="157"/>
      <c r="G105" s="157"/>
      <c r="H105" s="157"/>
      <c r="I105" s="141" t="s">
        <v>75</v>
      </c>
      <c r="J105" s="141"/>
      <c r="K105" s="141"/>
      <c r="L105" s="141"/>
      <c r="M105" s="141"/>
      <c r="N105" s="141"/>
      <c r="O105" s="141"/>
      <c r="P105" s="141"/>
      <c r="Q105" s="141"/>
    </row>
    <row r="106" spans="1:17" x14ac:dyDescent="0.25">
      <c r="A106" s="159"/>
      <c r="B106" s="159"/>
      <c r="C106" s="9" t="s">
        <v>78</v>
      </c>
      <c r="D106" s="10" t="s">
        <v>73</v>
      </c>
      <c r="E106" s="10" t="s">
        <v>72</v>
      </c>
      <c r="F106" s="11" t="s">
        <v>74</v>
      </c>
      <c r="G106" s="10" t="s">
        <v>4</v>
      </c>
      <c r="H106" s="10" t="s">
        <v>58</v>
      </c>
      <c r="I106" s="12" t="s">
        <v>77</v>
      </c>
      <c r="J106" s="10" t="s">
        <v>80</v>
      </c>
      <c r="K106" s="13" t="s">
        <v>79</v>
      </c>
      <c r="L106" s="10" t="s">
        <v>6</v>
      </c>
      <c r="M106" s="10" t="s">
        <v>7</v>
      </c>
      <c r="N106" s="10" t="s">
        <v>8</v>
      </c>
      <c r="O106" s="10" t="s">
        <v>9</v>
      </c>
      <c r="P106" s="10" t="s">
        <v>14</v>
      </c>
      <c r="Q106" s="10" t="s">
        <v>12</v>
      </c>
    </row>
    <row r="107" spans="1:17" x14ac:dyDescent="0.25">
      <c r="A107" s="160"/>
      <c r="B107" s="161"/>
      <c r="C107" s="23"/>
      <c r="D107" s="22"/>
      <c r="E107" s="22"/>
      <c r="F107" s="22"/>
      <c r="G107" s="22"/>
      <c r="H107" s="22"/>
      <c r="I107" s="24"/>
      <c r="J107" s="14"/>
      <c r="K107" s="25"/>
      <c r="L107" s="14">
        <v>0.222</v>
      </c>
      <c r="M107" s="14">
        <v>0.39400000000000002</v>
      </c>
      <c r="N107" s="14">
        <v>0.61599999999999999</v>
      </c>
      <c r="O107" s="14">
        <v>0.88700000000000001</v>
      </c>
      <c r="P107" s="14">
        <v>1.99</v>
      </c>
      <c r="Q107" s="14">
        <v>2.9830000000000001</v>
      </c>
    </row>
    <row r="108" spans="1:17" x14ac:dyDescent="0.25">
      <c r="A108" s="26">
        <v>1</v>
      </c>
      <c r="B108" s="43" t="s">
        <v>293</v>
      </c>
      <c r="C108" s="27">
        <v>1</v>
      </c>
      <c r="D108" s="26">
        <v>3</v>
      </c>
      <c r="E108" s="26">
        <v>0.2</v>
      </c>
      <c r="F108" s="26">
        <v>0.45</v>
      </c>
      <c r="G108" s="26">
        <f>C108*D108*E108*(F108-0.15)</f>
        <v>0.18000000000000005</v>
      </c>
      <c r="H108" s="26">
        <f>C108*D108*(F108-0.15)*2</f>
        <v>1.8000000000000003</v>
      </c>
      <c r="I108" s="24">
        <v>1</v>
      </c>
      <c r="J108" s="14">
        <v>7.8250000000000002</v>
      </c>
      <c r="K108" s="25">
        <v>2</v>
      </c>
      <c r="L108" s="22"/>
      <c r="M108" s="22"/>
      <c r="N108" s="22"/>
      <c r="O108" s="22"/>
      <c r="P108" s="14">
        <f>P107*K108*J108</f>
        <v>31.1435</v>
      </c>
      <c r="Q108" s="22"/>
    </row>
    <row r="109" spans="1:17" x14ac:dyDescent="0.25">
      <c r="A109" s="28"/>
      <c r="B109" s="44"/>
      <c r="C109" s="29"/>
      <c r="D109" s="28"/>
      <c r="E109" s="28"/>
      <c r="F109" s="28"/>
      <c r="G109" s="28"/>
      <c r="H109" s="28"/>
      <c r="I109" s="24">
        <v>2</v>
      </c>
      <c r="J109" s="14">
        <v>1.7250000000000001</v>
      </c>
      <c r="K109" s="25">
        <v>2</v>
      </c>
      <c r="L109" s="22"/>
      <c r="M109" s="22"/>
      <c r="N109" s="22"/>
      <c r="O109" s="22"/>
      <c r="P109" s="14">
        <f>P107*K109*J109</f>
        <v>6.8654999999999999</v>
      </c>
      <c r="Q109" s="22"/>
    </row>
    <row r="110" spans="1:17" x14ac:dyDescent="0.25">
      <c r="A110" s="28"/>
      <c r="B110" s="44"/>
      <c r="C110" s="29"/>
      <c r="D110" s="28"/>
      <c r="E110" s="28"/>
      <c r="F110" s="28"/>
      <c r="G110" s="28"/>
      <c r="H110" s="28"/>
      <c r="I110" s="24">
        <v>3</v>
      </c>
      <c r="J110" s="14">
        <v>2.75</v>
      </c>
      <c r="K110" s="25">
        <v>2</v>
      </c>
      <c r="L110" s="22"/>
      <c r="M110" s="22"/>
      <c r="N110" s="22"/>
      <c r="O110" s="22"/>
      <c r="P110" s="14">
        <f>P107*K110*J110</f>
        <v>10.945</v>
      </c>
      <c r="Q110" s="22"/>
    </row>
    <row r="111" spans="1:17" x14ac:dyDescent="0.25">
      <c r="A111" s="28"/>
      <c r="B111" s="44"/>
      <c r="C111" s="29"/>
      <c r="D111" s="28"/>
      <c r="E111" s="28"/>
      <c r="F111" s="28"/>
      <c r="G111" s="28"/>
      <c r="H111" s="28"/>
      <c r="I111" s="24" t="s">
        <v>294</v>
      </c>
      <c r="J111" s="14">
        <v>2.5499999999999998</v>
      </c>
      <c r="K111" s="25">
        <v>2</v>
      </c>
      <c r="L111" s="22"/>
      <c r="M111" s="22"/>
      <c r="N111" s="22"/>
      <c r="O111" s="22"/>
      <c r="P111" s="22">
        <f>P107*K111*J111</f>
        <v>10.148999999999999</v>
      </c>
      <c r="Q111" s="22"/>
    </row>
    <row r="112" spans="1:17" x14ac:dyDescent="0.25">
      <c r="A112" s="28"/>
      <c r="B112" s="44"/>
      <c r="C112" s="29"/>
      <c r="D112" s="28"/>
      <c r="E112" s="28"/>
      <c r="F112" s="28"/>
      <c r="G112" s="28"/>
      <c r="H112" s="28"/>
      <c r="I112" s="24">
        <v>4</v>
      </c>
      <c r="J112" s="14">
        <v>6.0250000000000004</v>
      </c>
      <c r="K112" s="25">
        <v>2</v>
      </c>
      <c r="L112" s="22"/>
      <c r="M112" s="22"/>
      <c r="N112" s="22"/>
      <c r="O112" s="22"/>
      <c r="P112" s="22">
        <f>P107*K112*J112</f>
        <v>23.979500000000002</v>
      </c>
      <c r="Q112" s="22"/>
    </row>
    <row r="113" spans="1:17" x14ac:dyDescent="0.25">
      <c r="A113" s="28"/>
      <c r="B113" s="44"/>
      <c r="C113" s="29"/>
      <c r="D113" s="28"/>
      <c r="E113" s="28"/>
      <c r="F113" s="28"/>
      <c r="G113" s="28"/>
      <c r="H113" s="28"/>
      <c r="I113" s="24">
        <v>5</v>
      </c>
      <c r="J113" s="14">
        <v>2.25</v>
      </c>
      <c r="K113" s="25">
        <v>2</v>
      </c>
      <c r="L113" s="22"/>
      <c r="M113" s="14"/>
      <c r="N113" s="22"/>
      <c r="O113" s="22"/>
      <c r="P113" s="22">
        <f>P107*K113*J113</f>
        <v>8.9550000000000001</v>
      </c>
      <c r="Q113" s="22"/>
    </row>
    <row r="114" spans="1:17" x14ac:dyDescent="0.25">
      <c r="A114" s="28"/>
      <c r="B114" s="44"/>
      <c r="C114" s="29"/>
      <c r="D114" s="28"/>
      <c r="E114" s="28"/>
      <c r="F114" s="28"/>
      <c r="G114" s="28"/>
      <c r="H114" s="28"/>
      <c r="I114" s="24" t="s">
        <v>295</v>
      </c>
      <c r="J114" s="14">
        <v>2.0499999999999998</v>
      </c>
      <c r="K114" s="25">
        <v>2</v>
      </c>
      <c r="L114" s="22"/>
      <c r="M114" s="14"/>
      <c r="N114" s="22"/>
      <c r="O114" s="22"/>
      <c r="P114" s="22">
        <f>P107*K114*J114</f>
        <v>8.1589999999999989</v>
      </c>
      <c r="Q114" s="22"/>
    </row>
    <row r="115" spans="1:17" x14ac:dyDescent="0.25">
      <c r="A115" s="28"/>
      <c r="B115" s="44"/>
      <c r="C115" s="29"/>
      <c r="D115" s="28"/>
      <c r="E115" s="28"/>
      <c r="F115" s="28"/>
      <c r="G115" s="28"/>
      <c r="H115" s="28"/>
      <c r="I115" s="24">
        <v>6</v>
      </c>
      <c r="J115" s="14">
        <v>4.9000000000000004</v>
      </c>
      <c r="K115" s="25">
        <v>2</v>
      </c>
      <c r="L115" s="22"/>
      <c r="M115" s="14"/>
      <c r="N115" s="22"/>
      <c r="O115" s="22"/>
      <c r="P115" s="22">
        <f>P107*K115*J115</f>
        <v>19.502000000000002</v>
      </c>
      <c r="Q115" s="22"/>
    </row>
    <row r="116" spans="1:17" x14ac:dyDescent="0.25">
      <c r="A116" s="28"/>
      <c r="B116" s="44"/>
      <c r="C116" s="29"/>
      <c r="D116" s="28"/>
      <c r="E116" s="28"/>
      <c r="F116" s="28"/>
      <c r="G116" s="28"/>
      <c r="H116" s="28"/>
      <c r="I116" s="24">
        <v>7</v>
      </c>
      <c r="J116" s="14">
        <v>3.9</v>
      </c>
      <c r="K116" s="25">
        <v>2</v>
      </c>
      <c r="L116" s="22"/>
      <c r="M116" s="14"/>
      <c r="N116" s="14"/>
      <c r="O116" s="22"/>
      <c r="P116" s="22">
        <f>P107*K116*J116</f>
        <v>15.522</v>
      </c>
      <c r="Q116" s="22"/>
    </row>
    <row r="117" spans="1:17" x14ac:dyDescent="0.25">
      <c r="A117" s="28"/>
      <c r="B117" s="44"/>
      <c r="C117" s="29"/>
      <c r="D117" s="28"/>
      <c r="E117" s="28"/>
      <c r="F117" s="28"/>
      <c r="G117" s="28"/>
      <c r="H117" s="28"/>
      <c r="I117" s="24">
        <v>8</v>
      </c>
      <c r="J117" s="14">
        <v>1.56</v>
      </c>
      <c r="K117" s="25">
        <v>9</v>
      </c>
      <c r="L117" s="22"/>
      <c r="M117" s="14">
        <f>M107*K117*J117</f>
        <v>5.5317600000000002</v>
      </c>
      <c r="N117" s="14"/>
      <c r="O117" s="22"/>
      <c r="P117" s="22"/>
      <c r="Q117" s="22"/>
    </row>
    <row r="118" spans="1:17" x14ac:dyDescent="0.25">
      <c r="A118" s="28"/>
      <c r="B118" s="44"/>
      <c r="C118" s="29"/>
      <c r="D118" s="28"/>
      <c r="E118" s="28"/>
      <c r="F118" s="28"/>
      <c r="G118" s="28"/>
      <c r="H118" s="28"/>
      <c r="I118" s="24">
        <v>9</v>
      </c>
      <c r="J118" s="14">
        <v>1.96</v>
      </c>
      <c r="K118" s="25">
        <v>38</v>
      </c>
      <c r="L118" s="22"/>
      <c r="M118" s="14">
        <f>M107*K118*J118</f>
        <v>29.345120000000001</v>
      </c>
      <c r="N118" s="14"/>
      <c r="O118" s="22"/>
      <c r="P118" s="22"/>
      <c r="Q118" s="22"/>
    </row>
    <row r="119" spans="1:17" x14ac:dyDescent="0.25">
      <c r="A119" s="26">
        <v>3</v>
      </c>
      <c r="B119" s="43" t="s">
        <v>291</v>
      </c>
      <c r="C119" s="27">
        <v>1</v>
      </c>
      <c r="D119" s="26">
        <v>5.4</v>
      </c>
      <c r="E119" s="26">
        <v>1.2</v>
      </c>
      <c r="F119" s="26">
        <v>0.15</v>
      </c>
      <c r="G119" s="26">
        <f>D119*E119*F119</f>
        <v>0.97199999999999998</v>
      </c>
      <c r="H119" s="26">
        <f>D119*E119+2*(D119+E119)*F119</f>
        <v>8.4600000000000009</v>
      </c>
      <c r="I119" s="24">
        <v>1</v>
      </c>
      <c r="J119" s="14">
        <v>1.36</v>
      </c>
      <c r="K119" s="25">
        <v>7</v>
      </c>
      <c r="L119" s="22"/>
      <c r="M119" s="22"/>
      <c r="N119" s="22">
        <f>N107*K119*J119</f>
        <v>5.8643200000000011</v>
      </c>
      <c r="O119" s="22"/>
      <c r="P119" s="14"/>
      <c r="Q119" s="22"/>
    </row>
    <row r="120" spans="1:17" x14ac:dyDescent="0.25">
      <c r="A120" s="28"/>
      <c r="B120" s="44"/>
      <c r="C120" s="29"/>
      <c r="D120" s="28"/>
      <c r="E120" s="28"/>
      <c r="F120" s="28"/>
      <c r="G120" s="28"/>
      <c r="H120" s="28"/>
      <c r="I120" s="24">
        <v>2</v>
      </c>
      <c r="J120" s="14">
        <v>4.3499999999999996</v>
      </c>
      <c r="K120" s="25">
        <v>9</v>
      </c>
      <c r="L120" s="22"/>
      <c r="M120" s="22"/>
      <c r="N120" s="22"/>
      <c r="O120" s="22">
        <f>O107*K120*J120</f>
        <v>34.726050000000001</v>
      </c>
      <c r="P120" s="14"/>
      <c r="Q120" s="22"/>
    </row>
    <row r="121" spans="1:17" x14ac:dyDescent="0.25">
      <c r="A121" s="28"/>
      <c r="B121" s="44"/>
      <c r="C121" s="29"/>
      <c r="D121" s="28"/>
      <c r="E121" s="28"/>
      <c r="F121" s="28"/>
      <c r="G121" s="28"/>
      <c r="H121" s="28"/>
      <c r="I121" s="24">
        <v>3</v>
      </c>
      <c r="J121" s="14">
        <v>1.6850000000000001</v>
      </c>
      <c r="K121" s="25">
        <v>13</v>
      </c>
      <c r="L121" s="22"/>
      <c r="M121" s="22"/>
      <c r="N121" s="22">
        <f>N107*K121*J121</f>
        <v>13.493479999999998</v>
      </c>
      <c r="O121" s="22"/>
      <c r="P121" s="14"/>
      <c r="Q121" s="22"/>
    </row>
    <row r="122" spans="1:17" x14ac:dyDescent="0.25">
      <c r="A122" s="28"/>
      <c r="B122" s="44"/>
      <c r="C122" s="29"/>
      <c r="D122" s="28"/>
      <c r="E122" s="28"/>
      <c r="F122" s="28"/>
      <c r="G122" s="28"/>
      <c r="H122" s="28"/>
      <c r="I122" s="24">
        <v>4</v>
      </c>
      <c r="J122" s="14">
        <v>2.71</v>
      </c>
      <c r="K122" s="25">
        <v>9</v>
      </c>
      <c r="L122" s="22"/>
      <c r="M122" s="22"/>
      <c r="N122" s="22">
        <f>N107*K122*J122</f>
        <v>15.024239999999999</v>
      </c>
      <c r="O122" s="22"/>
      <c r="P122" s="14"/>
      <c r="Q122" s="22"/>
    </row>
    <row r="123" spans="1:17" x14ac:dyDescent="0.25">
      <c r="A123" s="28"/>
      <c r="B123" s="44"/>
      <c r="C123" s="29"/>
      <c r="D123" s="28"/>
      <c r="E123" s="28"/>
      <c r="F123" s="28"/>
      <c r="G123" s="28"/>
      <c r="H123" s="28"/>
      <c r="I123" s="24">
        <v>5</v>
      </c>
      <c r="J123" s="14">
        <v>1.31</v>
      </c>
      <c r="K123" s="25">
        <v>24</v>
      </c>
      <c r="L123" s="22"/>
      <c r="M123" s="22">
        <f>M107*K123*J123</f>
        <v>12.387359999999999</v>
      </c>
      <c r="N123" s="22"/>
      <c r="O123" s="22"/>
      <c r="P123" s="14"/>
      <c r="Q123" s="22"/>
    </row>
    <row r="124" spans="1:17" x14ac:dyDescent="0.25">
      <c r="A124" s="30"/>
      <c r="B124" s="45"/>
      <c r="C124" s="31"/>
      <c r="D124" s="30"/>
      <c r="E124" s="30"/>
      <c r="F124" s="30"/>
      <c r="G124" s="30"/>
      <c r="H124" s="30"/>
      <c r="I124" s="24">
        <v>6</v>
      </c>
      <c r="J124" s="14">
        <v>2.71</v>
      </c>
      <c r="K124" s="25">
        <v>6</v>
      </c>
      <c r="L124" s="22"/>
      <c r="M124" s="14">
        <f>M107*K124*J124</f>
        <v>6.4064399999999999</v>
      </c>
      <c r="N124" s="22"/>
      <c r="O124" s="22"/>
      <c r="P124" s="14"/>
      <c r="Q124" s="22"/>
    </row>
    <row r="125" spans="1:17" x14ac:dyDescent="0.25">
      <c r="A125" s="160" t="s">
        <v>280</v>
      </c>
      <c r="B125" s="172"/>
      <c r="C125" s="172"/>
      <c r="D125" s="172"/>
      <c r="E125" s="172"/>
      <c r="F125" s="161"/>
      <c r="G125" s="68">
        <f>SUM(G108:G124)</f>
        <v>1.1520000000000001</v>
      </c>
      <c r="H125" s="68">
        <f>SUM(H108:H124)</f>
        <v>10.260000000000002</v>
      </c>
      <c r="I125" s="68"/>
      <c r="J125" s="68"/>
      <c r="K125" s="68"/>
      <c r="L125" s="68"/>
      <c r="M125" s="68">
        <f>SUM(M112:M124)</f>
        <v>53.670680000000004</v>
      </c>
      <c r="N125" s="68">
        <f>SUM(N115:N123)</f>
        <v>34.382039999999996</v>
      </c>
      <c r="O125" s="68">
        <f>SUM(O112:O121)</f>
        <v>34.726050000000001</v>
      </c>
      <c r="P125" s="91">
        <f>SUM(P108:P116)</f>
        <v>135.22050000000002</v>
      </c>
      <c r="Q125" s="68"/>
    </row>
    <row r="131" spans="1:18" ht="26.25" x14ac:dyDescent="0.4">
      <c r="A131" s="162" t="s">
        <v>300</v>
      </c>
      <c r="B131" s="163"/>
      <c r="C131" s="163"/>
      <c r="D131" s="163"/>
      <c r="E131" s="163"/>
      <c r="F131" s="163"/>
      <c r="G131" s="163"/>
      <c r="H131" s="163"/>
      <c r="I131" s="163"/>
      <c r="J131" s="163"/>
      <c r="K131" s="163"/>
      <c r="L131" s="163"/>
      <c r="M131" s="163"/>
      <c r="N131" s="163"/>
      <c r="O131" s="163"/>
      <c r="P131" s="163"/>
      <c r="Q131" s="163"/>
      <c r="R131" s="164"/>
    </row>
    <row r="132" spans="1:18" x14ac:dyDescent="0.25">
      <c r="A132" s="166" t="s">
        <v>256</v>
      </c>
      <c r="B132" s="167"/>
      <c r="C132" s="167"/>
      <c r="D132" s="167"/>
      <c r="E132" s="167"/>
      <c r="F132" s="168"/>
      <c r="G132" s="157" t="s">
        <v>133</v>
      </c>
      <c r="H132" s="157"/>
      <c r="I132" s="166" t="s">
        <v>262</v>
      </c>
      <c r="J132" s="167"/>
      <c r="K132" s="167"/>
      <c r="L132" s="167"/>
      <c r="M132" s="167"/>
      <c r="N132" s="167"/>
      <c r="O132" s="168"/>
      <c r="P132" s="33" t="s">
        <v>263</v>
      </c>
      <c r="Q132" s="34"/>
      <c r="R132" s="36"/>
    </row>
    <row r="133" spans="1:18" x14ac:dyDescent="0.25">
      <c r="A133" s="169"/>
      <c r="B133" s="170"/>
      <c r="C133" s="170"/>
      <c r="D133" s="170"/>
      <c r="E133" s="170"/>
      <c r="F133" s="171"/>
      <c r="G133" s="10" t="s">
        <v>4</v>
      </c>
      <c r="H133" s="10" t="s">
        <v>58</v>
      </c>
      <c r="I133" s="10" t="s">
        <v>6</v>
      </c>
      <c r="J133" s="10" t="s">
        <v>7</v>
      </c>
      <c r="K133" s="10" t="s">
        <v>8</v>
      </c>
      <c r="L133" s="10" t="s">
        <v>9</v>
      </c>
      <c r="M133" s="10" t="s">
        <v>11</v>
      </c>
      <c r="N133" s="10" t="s">
        <v>14</v>
      </c>
      <c r="O133" s="10" t="s">
        <v>12</v>
      </c>
      <c r="P133" s="23" t="s">
        <v>251</v>
      </c>
      <c r="Q133" s="23" t="s">
        <v>246</v>
      </c>
      <c r="R133" s="23" t="s">
        <v>250</v>
      </c>
    </row>
    <row r="134" spans="1:18" x14ac:dyDescent="0.25">
      <c r="A134" s="141" t="s">
        <v>248</v>
      </c>
      <c r="B134" s="141"/>
      <c r="C134" s="141"/>
      <c r="D134" s="141"/>
      <c r="E134" s="141"/>
      <c r="F134" s="141"/>
      <c r="G134" s="10" t="s">
        <v>243</v>
      </c>
      <c r="H134" s="10" t="s">
        <v>245</v>
      </c>
      <c r="I134" s="10"/>
      <c r="J134" s="10"/>
      <c r="K134" s="10"/>
      <c r="L134" s="22"/>
      <c r="M134" s="10"/>
      <c r="N134" s="10"/>
      <c r="O134" s="10"/>
      <c r="P134" s="22"/>
      <c r="Q134" s="22"/>
      <c r="R134" s="22"/>
    </row>
    <row r="135" spans="1:18" x14ac:dyDescent="0.25">
      <c r="A135" s="140" t="s">
        <v>296</v>
      </c>
      <c r="B135" s="140"/>
      <c r="C135" s="140"/>
      <c r="D135" s="140"/>
      <c r="E135" s="140"/>
      <c r="F135" s="140"/>
      <c r="G135" s="22">
        <f>G41</f>
        <v>28.775199999999998</v>
      </c>
      <c r="H135" s="22">
        <f>H41</f>
        <v>263.29399999999998</v>
      </c>
      <c r="I135" s="14">
        <f>L41</f>
        <v>21.978000000000002</v>
      </c>
      <c r="J135" s="22">
        <f>M41</f>
        <v>168.78960000000001</v>
      </c>
      <c r="K135" s="14">
        <f>N41</f>
        <v>1376.8216</v>
      </c>
      <c r="L135" s="22"/>
      <c r="M135" s="14">
        <f>O41</f>
        <v>130.3432</v>
      </c>
      <c r="N135" s="14">
        <f>P41</f>
        <v>627.80520000000001</v>
      </c>
      <c r="O135" s="22">
        <f>Q41</f>
        <v>260.41589999999997</v>
      </c>
      <c r="P135" s="14">
        <f>I135+J135+K135</f>
        <v>1567.5891999999999</v>
      </c>
      <c r="Q135" s="14">
        <f>L135+M135+N135</f>
        <v>758.14840000000004</v>
      </c>
      <c r="R135" s="22">
        <f>O135</f>
        <v>260.41589999999997</v>
      </c>
    </row>
    <row r="136" spans="1:18" x14ac:dyDescent="0.25">
      <c r="A136" s="140" t="s">
        <v>297</v>
      </c>
      <c r="B136" s="140"/>
      <c r="C136" s="140"/>
      <c r="D136" s="140"/>
      <c r="E136" s="140"/>
      <c r="F136" s="140"/>
      <c r="G136" s="22">
        <f>G79</f>
        <v>28.453299999999999</v>
      </c>
      <c r="H136" s="22">
        <f>H79</f>
        <v>213.78799999999998</v>
      </c>
      <c r="I136" s="22"/>
      <c r="J136" s="14">
        <f>M79</f>
        <v>728.95673599999998</v>
      </c>
      <c r="K136" s="22">
        <f>N79</f>
        <v>669.93079999999986</v>
      </c>
      <c r="L136" s="22">
        <f>O79</f>
        <v>671.41464999999994</v>
      </c>
      <c r="M136" s="22"/>
      <c r="N136" s="14">
        <f>P79</f>
        <v>734.27019999999993</v>
      </c>
      <c r="O136" s="22"/>
      <c r="P136" s="14">
        <f t="shared" ref="P136:P137" si="0">I136+J136+K136</f>
        <v>1398.8875359999997</v>
      </c>
      <c r="Q136" s="14">
        <f t="shared" ref="Q136:Q138" si="1">L136+M136+N136</f>
        <v>1405.6848499999999</v>
      </c>
      <c r="R136" s="22"/>
    </row>
    <row r="137" spans="1:18" x14ac:dyDescent="0.25">
      <c r="A137" s="140" t="s">
        <v>298</v>
      </c>
      <c r="B137" s="140"/>
      <c r="C137" s="140"/>
      <c r="D137" s="140"/>
      <c r="E137" s="140"/>
      <c r="F137" s="140"/>
      <c r="G137" s="22">
        <f>G102</f>
        <v>1.8776250000000001</v>
      </c>
      <c r="H137" s="22">
        <f>H102</f>
        <v>16.899999999999999</v>
      </c>
      <c r="I137" s="22"/>
      <c r="J137" s="14">
        <f>M102</f>
        <v>98.802119200000007</v>
      </c>
      <c r="K137" s="22">
        <f>N102</f>
        <v>33.165440000000004</v>
      </c>
      <c r="L137" s="22"/>
      <c r="M137" s="22"/>
      <c r="N137" s="72">
        <f>P102</f>
        <v>109.05199999999999</v>
      </c>
      <c r="O137" s="22">
        <f>Q102</f>
        <v>69.503900000000002</v>
      </c>
      <c r="P137" s="14">
        <f t="shared" si="0"/>
        <v>131.96755920000001</v>
      </c>
      <c r="Q137" s="14">
        <f t="shared" si="1"/>
        <v>109.05199999999999</v>
      </c>
      <c r="R137" s="22">
        <f t="shared" ref="R137" si="2">O137</f>
        <v>69.503900000000002</v>
      </c>
    </row>
    <row r="138" spans="1:18" x14ac:dyDescent="0.25">
      <c r="A138" s="140" t="s">
        <v>299</v>
      </c>
      <c r="B138" s="140"/>
      <c r="C138" s="140"/>
      <c r="D138" s="140"/>
      <c r="E138" s="140"/>
      <c r="F138" s="140"/>
      <c r="G138" s="22">
        <f>G125</f>
        <v>1.1520000000000001</v>
      </c>
      <c r="H138" s="22">
        <f>H125</f>
        <v>10.260000000000002</v>
      </c>
      <c r="I138" s="22"/>
      <c r="J138" s="14">
        <f>M125</f>
        <v>53.670680000000004</v>
      </c>
      <c r="K138" s="22">
        <f>N125</f>
        <v>34.382039999999996</v>
      </c>
      <c r="L138" s="22">
        <f>O125</f>
        <v>34.726050000000001</v>
      </c>
      <c r="M138" s="22"/>
      <c r="N138" s="14">
        <f>P125</f>
        <v>135.22050000000002</v>
      </c>
      <c r="O138" s="22"/>
      <c r="P138" s="14">
        <f>I138+J138+K138</f>
        <v>88.052719999999994</v>
      </c>
      <c r="Q138" s="14">
        <f t="shared" si="1"/>
        <v>169.94655</v>
      </c>
      <c r="R138" s="22"/>
    </row>
    <row r="139" spans="1:18" x14ac:dyDescent="0.25">
      <c r="G139" s="83">
        <f>SUM(G135:G138)</f>
        <v>60.258125</v>
      </c>
      <c r="H139" s="83">
        <f>SUM(H135:H138)</f>
        <v>504.24199999999996</v>
      </c>
      <c r="P139" s="85">
        <f>SUM(P135:P138)</f>
        <v>3186.4970151999996</v>
      </c>
      <c r="Q139" s="85">
        <f>SUM(Q135:Q138)</f>
        <v>2442.8317999999999</v>
      </c>
      <c r="R139" s="28">
        <f>SUM(R135:R138)</f>
        <v>329.91979999999995</v>
      </c>
    </row>
  </sheetData>
  <mergeCells count="39">
    <mergeCell ref="A4:B4"/>
    <mergeCell ref="A1:Q1"/>
    <mergeCell ref="A2:A3"/>
    <mergeCell ref="B2:B3"/>
    <mergeCell ref="C2:H2"/>
    <mergeCell ref="I2:Q2"/>
    <mergeCell ref="D32:E32"/>
    <mergeCell ref="A44:Q44"/>
    <mergeCell ref="A45:A46"/>
    <mergeCell ref="B45:B46"/>
    <mergeCell ref="C45:H45"/>
    <mergeCell ref="I45:Q45"/>
    <mergeCell ref="A41:E41"/>
    <mergeCell ref="A47:B47"/>
    <mergeCell ref="D71:E71"/>
    <mergeCell ref="A79:F79"/>
    <mergeCell ref="A81:Q81"/>
    <mergeCell ref="A82:A83"/>
    <mergeCell ref="B82:B83"/>
    <mergeCell ref="C82:H82"/>
    <mergeCell ref="I82:Q82"/>
    <mergeCell ref="A84:B84"/>
    <mergeCell ref="A102:F102"/>
    <mergeCell ref="A104:Q104"/>
    <mergeCell ref="A105:A106"/>
    <mergeCell ref="B105:B106"/>
    <mergeCell ref="C105:H105"/>
    <mergeCell ref="I105:Q105"/>
    <mergeCell ref="A137:F137"/>
    <mergeCell ref="A138:F138"/>
    <mergeCell ref="A107:B107"/>
    <mergeCell ref="A125:F125"/>
    <mergeCell ref="A132:F133"/>
    <mergeCell ref="I132:O132"/>
    <mergeCell ref="A131:R131"/>
    <mergeCell ref="A134:F134"/>
    <mergeCell ref="A135:F135"/>
    <mergeCell ref="A136:F136"/>
    <mergeCell ref="G132:H13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MONG</vt:lpstr>
      <vt:lpstr>COT</vt:lpstr>
      <vt:lpstr>DAM SAN TẦNG MÁI, THUONG </vt:lpstr>
      <vt:lpstr>MAI DON RAM 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Viet Binh</dc:creator>
  <cp:lastModifiedBy>Lê Nguyễn</cp:lastModifiedBy>
  <dcterms:created xsi:type="dcterms:W3CDTF">2013-01-22T08:52:45Z</dcterms:created>
  <dcterms:modified xsi:type="dcterms:W3CDTF">2024-07-19T07:00:53Z</dcterms:modified>
</cp:coreProperties>
</file>